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gui_g\Desktop\"/>
    </mc:Choice>
  </mc:AlternateContent>
  <xr:revisionPtr revIDLastSave="0" documentId="13_ncr:1_{10D28A69-908C-4EE1-B70E-91718DBB696F}" xr6:coauthVersionLast="47" xr6:coauthVersionMax="47" xr10:uidLastSave="{00000000-0000-0000-0000-000000000000}"/>
  <bookViews>
    <workbookView xWindow="28680" yWindow="-120" windowWidth="21840" windowHeight="13020" tabRatio="784" firstSheet="4" activeTab="9" xr2:uid="{00000000-000D-0000-FFFF-FFFF00000000}"/>
  </bookViews>
  <sheets>
    <sheet name="Dados Gerais" sheetId="1" r:id="rId1"/>
    <sheet name="Resumo" sheetId="2" r:id="rId2"/>
    <sheet name="Movimentação de Terra" sheetId="3" r:id="rId3"/>
    <sheet name="Infraestrutura" sheetId="4" r:id="rId4"/>
    <sheet name="Supraestrutura" sheetId="5" r:id="rId5"/>
    <sheet name="Alvenaria" sheetId="6" r:id="rId6"/>
    <sheet name="Instalações" sheetId="7" r:id="rId7"/>
    <sheet name="Sistemas especiais" sheetId="8" r:id="rId8"/>
    <sheet name="Impermeabilização" sheetId="9" r:id="rId9"/>
    <sheet name="Rev. Internos Piso e Parede" sheetId="10" r:id="rId10"/>
    <sheet name="Acabamentos de Teto" sheetId="11" r:id="rId11"/>
    <sheet name="Acabamentos de Piso e Parede" sheetId="12" r:id="rId12"/>
    <sheet name="Pintura Interna" sheetId="13" r:id="rId13"/>
    <sheet name="Esquadrias" sheetId="14" r:id="rId14"/>
    <sheet name="Cobertura" sheetId="15" r:id="rId15"/>
    <sheet name="Rev. Fachada" sheetId="17" r:id="rId16"/>
    <sheet name="Complementares" sheetId="16" r:id="rId17"/>
  </sheets>
  <externalReferences>
    <externalReference r:id="rId1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kCuu/XVlLVbCt980lNTbjN3vAYdujBaqo930sGB6eDM="/>
    </ext>
  </extLst>
</workbook>
</file>

<file path=xl/calcChain.xml><?xml version="1.0" encoding="utf-8"?>
<calcChain xmlns="http://schemas.openxmlformats.org/spreadsheetml/2006/main">
  <c r="D24" i="6" l="1"/>
  <c r="D16" i="10" l="1"/>
  <c r="D17" i="10" l="1"/>
  <c r="I49" i="8"/>
  <c r="D15" i="17"/>
  <c r="I15" i="17" s="1"/>
  <c r="I34" i="17"/>
  <c r="I33" i="17"/>
  <c r="I32" i="17"/>
  <c r="I31" i="17"/>
  <c r="I30" i="17"/>
  <c r="I29" i="17"/>
  <c r="I35" i="17" s="1"/>
  <c r="I24" i="17"/>
  <c r="I23" i="17"/>
  <c r="M24" i="17" s="1"/>
  <c r="I20" i="16"/>
  <c r="I19" i="16"/>
  <c r="I18" i="16"/>
  <c r="I17" i="16"/>
  <c r="I16" i="16"/>
  <c r="I15" i="16"/>
  <c r="I21" i="16" s="1"/>
  <c r="I17" i="15"/>
  <c r="J19" i="15" s="1"/>
  <c r="K19" i="15" s="1"/>
  <c r="I16" i="15"/>
  <c r="I15" i="15"/>
  <c r="M39" i="14"/>
  <c r="O39" i="14" s="1"/>
  <c r="N38" i="14"/>
  <c r="M38" i="14"/>
  <c r="O38" i="14" s="1"/>
  <c r="J38" i="14"/>
  <c r="O37" i="14"/>
  <c r="M37" i="14"/>
  <c r="O36" i="14"/>
  <c r="M36" i="14"/>
  <c r="N35" i="14"/>
  <c r="M35" i="14"/>
  <c r="O35" i="14" s="1"/>
  <c r="O34" i="14"/>
  <c r="M34" i="14"/>
  <c r="M33" i="14"/>
  <c r="O33" i="14" s="1"/>
  <c r="N32" i="14"/>
  <c r="M32" i="14"/>
  <c r="O32" i="14" s="1"/>
  <c r="O31" i="14"/>
  <c r="M31" i="14"/>
  <c r="R30" i="14"/>
  <c r="Q30" i="14"/>
  <c r="S30" i="14" s="1"/>
  <c r="N30" i="14"/>
  <c r="M30" i="14"/>
  <c r="O30" i="14" s="1"/>
  <c r="S29" i="14"/>
  <c r="Q29" i="14"/>
  <c r="M29" i="14"/>
  <c r="O29" i="14" s="1"/>
  <c r="D29" i="14"/>
  <c r="S28" i="14"/>
  <c r="Q28" i="14"/>
  <c r="N28" i="14"/>
  <c r="O28" i="14" s="1"/>
  <c r="M28" i="14"/>
  <c r="S27" i="14"/>
  <c r="Q27" i="14"/>
  <c r="O27" i="14"/>
  <c r="N27" i="14"/>
  <c r="M27" i="14"/>
  <c r="S26" i="14"/>
  <c r="R26" i="14"/>
  <c r="Q26" i="14"/>
  <c r="M26" i="14"/>
  <c r="O26" i="14" s="1"/>
  <c r="S25" i="14"/>
  <c r="S33" i="14" s="1"/>
  <c r="R25" i="14"/>
  <c r="Q25" i="14"/>
  <c r="N25" i="14"/>
  <c r="M25" i="14"/>
  <c r="O25" i="14" s="1"/>
  <c r="S24" i="14"/>
  <c r="Q24" i="14"/>
  <c r="M24" i="14"/>
  <c r="O24" i="14" s="1"/>
  <c r="I22" i="14"/>
  <c r="I21" i="14"/>
  <c r="L20" i="14"/>
  <c r="I20" i="14"/>
  <c r="I23" i="14" s="1"/>
  <c r="I19" i="14"/>
  <c r="L18" i="14"/>
  <c r="I18" i="14"/>
  <c r="I17" i="14"/>
  <c r="I16" i="14"/>
  <c r="I15" i="14"/>
  <c r="I17" i="13"/>
  <c r="D17" i="13"/>
  <c r="I16" i="13"/>
  <c r="D16" i="13"/>
  <c r="D15" i="13"/>
  <c r="I15" i="13" s="1"/>
  <c r="I18" i="13" s="1"/>
  <c r="J46" i="12"/>
  <c r="J43" i="12"/>
  <c r="J41" i="12"/>
  <c r="D35" i="12"/>
  <c r="J34" i="12"/>
  <c r="D34" i="12"/>
  <c r="J33" i="12"/>
  <c r="D33" i="12"/>
  <c r="J32" i="12"/>
  <c r="D32" i="12"/>
  <c r="I26" i="12"/>
  <c r="D26" i="12"/>
  <c r="D24" i="12"/>
  <c r="I24" i="12" s="1"/>
  <c r="I23" i="12"/>
  <c r="I22" i="12"/>
  <c r="I21" i="12"/>
  <c r="I20" i="12"/>
  <c r="I19" i="12"/>
  <c r="D19" i="12"/>
  <c r="I18" i="12"/>
  <c r="I17" i="12"/>
  <c r="I16" i="12"/>
  <c r="D15" i="12"/>
  <c r="D25" i="12" s="1"/>
  <c r="I25" i="12" s="1"/>
  <c r="I18" i="11"/>
  <c r="J21" i="11" s="1"/>
  <c r="K21" i="11" s="1"/>
  <c r="I17" i="11"/>
  <c r="I16" i="11"/>
  <c r="M15" i="11"/>
  <c r="L15" i="11"/>
  <c r="I15" i="11"/>
  <c r="D15" i="11"/>
  <c r="I19" i="10"/>
  <c r="D19" i="10"/>
  <c r="I18" i="10"/>
  <c r="L15" i="10"/>
  <c r="I15" i="10"/>
  <c r="D22" i="9"/>
  <c r="I22" i="9" s="1"/>
  <c r="I21" i="9"/>
  <c r="I20" i="9"/>
  <c r="D19" i="9"/>
  <c r="I19" i="9" s="1"/>
  <c r="I18" i="9"/>
  <c r="I16" i="9"/>
  <c r="D15" i="9"/>
  <c r="I15" i="9" s="1"/>
  <c r="I51" i="8"/>
  <c r="I50" i="8"/>
  <c r="I52" i="8"/>
  <c r="D60" i="2" s="1"/>
  <c r="I43" i="8"/>
  <c r="I42" i="8"/>
  <c r="I35" i="8"/>
  <c r="I36" i="8" s="1"/>
  <c r="I28" i="8"/>
  <c r="I29" i="8" s="1"/>
  <c r="D58" i="2" s="1"/>
  <c r="I27" i="8"/>
  <c r="I26" i="8"/>
  <c r="I20" i="8"/>
  <c r="I19" i="8"/>
  <c r="I18" i="8"/>
  <c r="I17" i="8"/>
  <c r="I16" i="8"/>
  <c r="I15" i="8"/>
  <c r="I43" i="7"/>
  <c r="I42" i="7"/>
  <c r="I41" i="7"/>
  <c r="I44" i="7" s="1"/>
  <c r="I34" i="7"/>
  <c r="I33" i="7"/>
  <c r="I32" i="7"/>
  <c r="I31" i="7"/>
  <c r="I30" i="7"/>
  <c r="I29" i="7"/>
  <c r="I28" i="7"/>
  <c r="I27" i="7"/>
  <c r="I35" i="7" s="1"/>
  <c r="D48" i="2" s="1"/>
  <c r="I22" i="7"/>
  <c r="D47" i="2" s="1"/>
  <c r="I21" i="7"/>
  <c r="I20" i="7"/>
  <c r="I19" i="7"/>
  <c r="I18" i="7"/>
  <c r="I17" i="7"/>
  <c r="I16" i="7"/>
  <c r="I15" i="7"/>
  <c r="D20" i="6"/>
  <c r="I20" i="6" s="1"/>
  <c r="D19" i="6"/>
  <c r="I17" i="6"/>
  <c r="L16" i="6"/>
  <c r="I16" i="6"/>
  <c r="L15" i="6"/>
  <c r="M15" i="6" s="1"/>
  <c r="I15" i="6"/>
  <c r="I21" i="5"/>
  <c r="D21" i="5"/>
  <c r="D20" i="5"/>
  <c r="I20" i="5" s="1"/>
  <c r="D18" i="5"/>
  <c r="I18" i="5" s="1"/>
  <c r="D17" i="5"/>
  <c r="I17" i="5" s="1"/>
  <c r="D16" i="5"/>
  <c r="I16" i="5" s="1"/>
  <c r="I50" i="4"/>
  <c r="F45" i="4"/>
  <c r="D45" i="4"/>
  <c r="D47" i="4" s="1"/>
  <c r="I47" i="4" s="1"/>
  <c r="I44" i="4"/>
  <c r="D44" i="4"/>
  <c r="D41" i="4"/>
  <c r="I41" i="4" s="1"/>
  <c r="D39" i="4"/>
  <c r="D43" i="4" s="1"/>
  <c r="I30" i="4"/>
  <c r="D29" i="4"/>
  <c r="I29" i="4" s="1"/>
  <c r="I20" i="4"/>
  <c r="D15" i="4"/>
  <c r="D16" i="4" s="1"/>
  <c r="D17" i="4" s="1"/>
  <c r="I45" i="3"/>
  <c r="I46" i="3" s="1"/>
  <c r="D45" i="3"/>
  <c r="I37" i="3"/>
  <c r="I36" i="3"/>
  <c r="D36" i="3"/>
  <c r="D37" i="3" s="1"/>
  <c r="I29" i="3"/>
  <c r="I30" i="3" s="1"/>
  <c r="D29" i="3"/>
  <c r="I23" i="3"/>
  <c r="I22" i="3"/>
  <c r="D15" i="3"/>
  <c r="I15" i="3" s="1"/>
  <c r="I16" i="3" s="1"/>
  <c r="K134" i="2"/>
  <c r="K133" i="2"/>
  <c r="K132" i="2"/>
  <c r="K135" i="2" s="1"/>
  <c r="K131" i="2"/>
  <c r="A125" i="2"/>
  <c r="D118" i="2"/>
  <c r="D119" i="2" s="1"/>
  <c r="A118" i="2"/>
  <c r="A111" i="2"/>
  <c r="D110" i="2"/>
  <c r="A110" i="2"/>
  <c r="A109" i="2"/>
  <c r="A102" i="2"/>
  <c r="A95" i="2"/>
  <c r="A88" i="2"/>
  <c r="D81" i="2"/>
  <c r="D82" i="2" s="1"/>
  <c r="A81" i="2"/>
  <c r="A74" i="2"/>
  <c r="A67" i="2"/>
  <c r="A60" i="2"/>
  <c r="D59" i="2"/>
  <c r="A59" i="2"/>
  <c r="A57" i="2"/>
  <c r="D56" i="2"/>
  <c r="A56" i="2"/>
  <c r="A49" i="2"/>
  <c r="A48" i="2"/>
  <c r="A47" i="2"/>
  <c r="A40" i="2"/>
  <c r="A33" i="2"/>
  <c r="D27" i="2"/>
  <c r="A26" i="2"/>
  <c r="D25" i="2"/>
  <c r="A25" i="2"/>
  <c r="A17" i="2"/>
  <c r="A16" i="2"/>
  <c r="D15" i="2"/>
  <c r="A15" i="2"/>
  <c r="O27" i="1"/>
  <c r="D18" i="6" l="1"/>
  <c r="I18" i="6" s="1"/>
  <c r="I19" i="6"/>
  <c r="L20" i="6" s="1"/>
  <c r="I17" i="10"/>
  <c r="I16" i="10"/>
  <c r="D20" i="10"/>
  <c r="I20" i="10" s="1"/>
  <c r="L15" i="17"/>
  <c r="D16" i="17"/>
  <c r="I16" i="17" s="1"/>
  <c r="I17" i="17"/>
  <c r="D109" i="2" s="1"/>
  <c r="D95" i="2"/>
  <c r="D96" i="2" s="1"/>
  <c r="J21" i="13"/>
  <c r="K21" i="13" s="1"/>
  <c r="I17" i="4"/>
  <c r="D19" i="4"/>
  <c r="O40" i="14"/>
  <c r="D49" i="4"/>
  <c r="I49" i="4" s="1"/>
  <c r="I43" i="4"/>
  <c r="F43" i="4"/>
  <c r="J24" i="16"/>
  <c r="K24" i="16" s="1"/>
  <c r="D125" i="2"/>
  <c r="D126" i="2" s="1"/>
  <c r="D111" i="2"/>
  <c r="D17" i="2"/>
  <c r="D102" i="2"/>
  <c r="D103" i="2" s="1"/>
  <c r="J26" i="14"/>
  <c r="K26" i="14" s="1"/>
  <c r="D49" i="2"/>
  <c r="D50" i="2" s="1"/>
  <c r="J47" i="7"/>
  <c r="K47" i="7" s="1"/>
  <c r="J55" i="8"/>
  <c r="K55" i="8" s="1"/>
  <c r="D57" i="2"/>
  <c r="D61" i="2" s="1"/>
  <c r="M23" i="17"/>
  <c r="I15" i="12"/>
  <c r="I27" i="12" s="1"/>
  <c r="I39" i="4"/>
  <c r="I45" i="4"/>
  <c r="D46" i="4"/>
  <c r="I46" i="4" s="1"/>
  <c r="D19" i="5"/>
  <c r="I19" i="5" s="1"/>
  <c r="D27" i="4"/>
  <c r="D42" i="4"/>
  <c r="D28" i="4"/>
  <c r="I28" i="4" s="1"/>
  <c r="D15" i="5"/>
  <c r="I15" i="5" s="1"/>
  <c r="I21" i="10" l="1"/>
  <c r="I21" i="6"/>
  <c r="J24" i="6" s="1"/>
  <c r="K24" i="6" s="1"/>
  <c r="L16" i="17"/>
  <c r="J37" i="17"/>
  <c r="K37" i="17" s="1"/>
  <c r="D112" i="2"/>
  <c r="J30" i="12"/>
  <c r="K30" i="12" s="1"/>
  <c r="D88" i="2"/>
  <c r="D89" i="2" s="1"/>
  <c r="D48" i="4"/>
  <c r="I48" i="4" s="1"/>
  <c r="I42" i="4"/>
  <c r="I51" i="4" s="1"/>
  <c r="J55" i="4" s="1"/>
  <c r="K55" i="4" s="1"/>
  <c r="I27" i="4"/>
  <c r="I31" i="4" s="1"/>
  <c r="D26" i="2" s="1"/>
  <c r="D17" i="9"/>
  <c r="I17" i="9" s="1"/>
  <c r="I23" i="9" s="1"/>
  <c r="D38" i="3"/>
  <c r="I38" i="3" s="1"/>
  <c r="I39" i="3" s="1"/>
  <c r="D18" i="4"/>
  <c r="I18" i="4" s="1"/>
  <c r="I21" i="4" s="1"/>
  <c r="J54" i="4" s="1"/>
  <c r="I19" i="4"/>
  <c r="I22" i="5"/>
  <c r="J24" i="10" l="1"/>
  <c r="K24" i="10" s="1"/>
  <c r="D74" i="2"/>
  <c r="D75" i="2" s="1"/>
  <c r="D40" i="2"/>
  <c r="D41" i="2" s="1"/>
  <c r="J56" i="4"/>
  <c r="K56" i="4" s="1"/>
  <c r="K54" i="4"/>
  <c r="D16" i="2"/>
  <c r="D18" i="2" s="1"/>
  <c r="J49" i="3"/>
  <c r="K49" i="3" s="1"/>
  <c r="J25" i="5"/>
  <c r="K25" i="5" s="1"/>
  <c r="D33" i="2"/>
  <c r="D34" i="2" s="1"/>
  <c r="D67" i="2"/>
  <c r="D68" i="2" s="1"/>
  <c r="J26" i="9"/>
  <c r="K26" i="9" s="1"/>
  <c r="D129" i="2" l="1"/>
  <c r="G130" i="2" s="1"/>
  <c r="G131" i="2" s="1"/>
</calcChain>
</file>

<file path=xl/sharedStrings.xml><?xml version="1.0" encoding="utf-8"?>
<sst xmlns="http://schemas.openxmlformats.org/spreadsheetml/2006/main" count="1166" uniqueCount="321">
  <si>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GERENCIAMENTO EXECUTIVO</t>
    </r>
  </si>
  <si>
    <t>Documento</t>
  </si>
  <si>
    <t>CTN_STM_UNI Orçamento Preliminar</t>
  </si>
  <si>
    <t>Cliente</t>
  </si>
  <si>
    <t>Santa Maria</t>
  </si>
  <si>
    <t>Obra</t>
  </si>
  <si>
    <t>Unimed</t>
  </si>
  <si>
    <t>Data</t>
  </si>
  <si>
    <t>Revisão</t>
  </si>
  <si>
    <t>R01</t>
  </si>
  <si>
    <t>Status</t>
  </si>
  <si>
    <t>Em andamento</t>
  </si>
  <si>
    <t>Responsável</t>
  </si>
  <si>
    <t>Amanda</t>
  </si>
  <si>
    <t>Descrição</t>
  </si>
  <si>
    <t>Identificador</t>
  </si>
  <si>
    <t>Informação</t>
  </si>
  <si>
    <t>Área do terreno</t>
  </si>
  <si>
    <t>AT</t>
  </si>
  <si>
    <t>m²</t>
  </si>
  <si>
    <t>OK</t>
  </si>
  <si>
    <t>Testada do terreno</t>
  </si>
  <si>
    <t>TT</t>
  </si>
  <si>
    <t>m</t>
  </si>
  <si>
    <t>Área total construída</t>
  </si>
  <si>
    <t>AC</t>
  </si>
  <si>
    <t>N° total de pavimentos</t>
  </si>
  <si>
    <t>NP</t>
  </si>
  <si>
    <t>un</t>
  </si>
  <si>
    <t>N° de pavimentos tipo</t>
  </si>
  <si>
    <t>NPT</t>
  </si>
  <si>
    <t>N° de pavimentos tipo diferenciado</t>
  </si>
  <si>
    <t>NPD</t>
  </si>
  <si>
    <t>N° de pavimentos duplex</t>
  </si>
  <si>
    <t>ND</t>
  </si>
  <si>
    <t>Área de projeção da torre</t>
  </si>
  <si>
    <t>APT</t>
  </si>
  <si>
    <t>Perímetro de projeção da torre</t>
  </si>
  <si>
    <t>PPT</t>
  </si>
  <si>
    <t>Área Lazer</t>
  </si>
  <si>
    <t>AL</t>
  </si>
  <si>
    <t>Locação da obra</t>
  </si>
  <si>
    <t>LC</t>
  </si>
  <si>
    <t>Área do embasamento</t>
  </si>
  <si>
    <t>AE</t>
  </si>
  <si>
    <t>Área de subsolos</t>
  </si>
  <si>
    <t>AS</t>
  </si>
  <si>
    <t>N° de subsolos</t>
  </si>
  <si>
    <t>NS</t>
  </si>
  <si>
    <t>Área de projeção do embasamento</t>
  </si>
  <si>
    <t>APE</t>
  </si>
  <si>
    <t>Perímetro de projeção embasamento</t>
  </si>
  <si>
    <t>PPE</t>
  </si>
  <si>
    <t>N° de pavimentos de embasamento</t>
  </si>
  <si>
    <t>NPE</t>
  </si>
  <si>
    <t>Térreo, mezanino, garagens e lazer</t>
  </si>
  <si>
    <r>
      <rPr>
        <b/>
        <sz val="14"/>
        <color rgb="FF293549"/>
        <rFont val="Roboto"/>
      </rPr>
      <t xml:space="preserve">ORÇAMENTO PARAMÉTRICO 
</t>
    </r>
    <r>
      <rPr>
        <b/>
        <sz val="11"/>
        <color rgb="FF003C66"/>
        <rFont val="Roboto"/>
      </rPr>
      <t>GERENCIAMENTO EXECUTIVO</t>
    </r>
  </si>
  <si>
    <t>MTH_ART-RES Orçamento Paramétrico</t>
  </si>
  <si>
    <t>P&amp;B Incoporadora LTDA</t>
  </si>
  <si>
    <t>Ilhas de Porto Belo</t>
  </si>
  <si>
    <t>Amanda/Luisa</t>
  </si>
  <si>
    <t>MOVIMENTAÇÃO DE TERRA</t>
  </si>
  <si>
    <t>Valor total</t>
  </si>
  <si>
    <t>TOTAL</t>
  </si>
  <si>
    <t>INFRAESTRUTURA</t>
  </si>
  <si>
    <t>SUPRAESTRUTURA</t>
  </si>
  <si>
    <t>ALVENARIA</t>
  </si>
  <si>
    <t>INSTALAÇÕES</t>
  </si>
  <si>
    <t>SISTEMAS ESPECIAIS</t>
  </si>
  <si>
    <t>COMUNICAÇÃO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</si>
  <si>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</si>
  <si>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</si>
  <si>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</si>
  <si>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</si>
  <si>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</si>
  <si>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</t>
  </si>
  <si>
    <t>REVESTIMENTOS DE FACHADA</t>
  </si>
  <si>
    <t>COBERTURA</t>
  </si>
  <si>
    <t>SERVIÇOS COMPLEMENTARES</t>
  </si>
  <si>
    <t>TOTAL GERAL</t>
  </si>
  <si>
    <t xml:space="preserve"> R$/m² </t>
  </si>
  <si>
    <t>Área privativa</t>
  </si>
  <si>
    <t xml:space="preserve"> CUB/SC </t>
  </si>
  <si>
    <t xml:space="preserve"> CUB 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</si>
  <si>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MOVIMENTAÇÃO DE TERRA</t>
    </r>
  </si>
  <si>
    <t>ESCAVAÇÃO</t>
  </si>
  <si>
    <t>Quantidade</t>
  </si>
  <si>
    <t>Parâmetro</t>
  </si>
  <si>
    <t>Referência</t>
  </si>
  <si>
    <t>Escavação</t>
  </si>
  <si>
    <t>m³</t>
  </si>
  <si>
    <t>R$ / m³</t>
  </si>
  <si>
    <t>Pedro Chaves</t>
  </si>
  <si>
    <t>REBAIXAMENTO DE LENÇOL</t>
  </si>
  <si>
    <t>Rebaixamento de Lençol</t>
  </si>
  <si>
    <t>dias</t>
  </si>
  <si>
    <t>R$ / dia</t>
  </si>
  <si>
    <t>Média</t>
  </si>
  <si>
    <t>ESCAVAÇÃO VERTICAL PARA SUBSOLO</t>
  </si>
  <si>
    <t>Escavação vertical</t>
  </si>
  <si>
    <t>m³ / AS</t>
  </si>
  <si>
    <t>ESCAVAÇÃO E REATERRO DE VALAS</t>
  </si>
  <si>
    <t>Escavação mecanizada para blocos e baldrames</t>
  </si>
  <si>
    <t>m³ / AE</t>
  </si>
  <si>
    <t>Reaterro para blocos e baldrames</t>
  </si>
  <si>
    <t>Movimentação de terra das estacas</t>
  </si>
  <si>
    <t>m³ / m³</t>
  </si>
  <si>
    <t>REGULARIZAÇÃO E APILOAMENTO DE FUNDO DE VALAS</t>
  </si>
  <si>
    <t xml:space="preserve">Lastro de concreto magro e= 10cm - Blocos </t>
  </si>
  <si>
    <t xml:space="preserve">m² </t>
  </si>
  <si>
    <t>m² / AE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</si>
  <si>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INFRAESTRUTURA</t>
    </r>
  </si>
  <si>
    <t>FUNDAÇÃO PROFUNDA</t>
  </si>
  <si>
    <t>Número de Estacas</t>
  </si>
  <si>
    <t>un / APE</t>
  </si>
  <si>
    <t>-</t>
  </si>
  <si>
    <t>Número de Estacas Raiz</t>
  </si>
  <si>
    <t>%</t>
  </si>
  <si>
    <t>Estaca Escavada Diâmetro 100 Raiz</t>
  </si>
  <si>
    <t>m / un</t>
  </si>
  <si>
    <t>Armação</t>
  </si>
  <si>
    <t>kg</t>
  </si>
  <si>
    <t>kg / m³</t>
  </si>
  <si>
    <t>Concreto</t>
  </si>
  <si>
    <t>Mobilização</t>
  </si>
  <si>
    <t>vb</t>
  </si>
  <si>
    <t xml:space="preserve">R$ </t>
  </si>
  <si>
    <t>FUNDAÇÃO RASA</t>
  </si>
  <si>
    <t>Fabricação, montagem e desmontagem de forma para blocos e baldrames</t>
  </si>
  <si>
    <t>m² / AT</t>
  </si>
  <si>
    <t>consideração de altura média de bloco de 40cm</t>
  </si>
  <si>
    <t>m³ / AT</t>
  </si>
  <si>
    <t>Mão de obra</t>
  </si>
  <si>
    <t>R$ / AT</t>
  </si>
  <si>
    <t>Consideração de área do térreo</t>
  </si>
  <si>
    <t>CONTENÇÃO</t>
  </si>
  <si>
    <t>un / m</t>
  </si>
  <si>
    <t>Estaca Raiz Diâmetro 310</t>
  </si>
  <si>
    <t>Estaca Raiz Diâmetro 250</t>
  </si>
  <si>
    <t>kg / m3</t>
  </si>
  <si>
    <t>Forma para viga de coroamento - 50x30</t>
  </si>
  <si>
    <t>m2</t>
  </si>
  <si>
    <t>R$ / m²</t>
  </si>
  <si>
    <t>Concreto para viga de coroamento</t>
  </si>
  <si>
    <t>m3</t>
  </si>
  <si>
    <t>Armação para viga de coroamento</t>
  </si>
  <si>
    <t>Mão de obra para viga de coroamento</t>
  </si>
  <si>
    <t>R$ / m3</t>
  </si>
  <si>
    <t>Mão de obra armação</t>
  </si>
  <si>
    <t>R$ / kg</t>
  </si>
  <si>
    <t>Mão de obra concretagem</t>
  </si>
  <si>
    <t>R$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</si>
  <si>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SUPRAESTRUTURA</t>
    </r>
  </si>
  <si>
    <t>Fabricação forma</t>
  </si>
  <si>
    <t>Montagem de forma</t>
  </si>
  <si>
    <t>m² / AC</t>
  </si>
  <si>
    <t>Escoramento - Torre</t>
  </si>
  <si>
    <t>Escoramento - Embasamento</t>
  </si>
  <si>
    <t>Armadura Convencional para Estrutura</t>
  </si>
  <si>
    <t>m³ / AC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</si>
  <si>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ALVENARIA</t>
    </r>
  </si>
  <si>
    <t xml:space="preserve">Alvenaria </t>
  </si>
  <si>
    <t>m² / R$</t>
  </si>
  <si>
    <t>Drywall (MAT E MO)</t>
  </si>
  <si>
    <t>Bloco de concreto autoclavado</t>
  </si>
  <si>
    <t>m²/R$</t>
  </si>
  <si>
    <t>Escadas</t>
  </si>
  <si>
    <t>Serviços complementares</t>
  </si>
  <si>
    <t xml:space="preserve">R$ / m² de alv. </t>
  </si>
  <si>
    <t>Encunhamento, tela, verga e contraverga</t>
  </si>
  <si>
    <t>Mão de obra - Bloco Cerâmico</t>
  </si>
  <si>
    <t>Mão de obra - Bloco Concreto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</si>
  <si>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INSTALAÇÕES</t>
    </r>
  </si>
  <si>
    <t>INSTALAÇÕES ELÉTRICAS</t>
  </si>
  <si>
    <t>Entrada de Energia</t>
  </si>
  <si>
    <t>R$ / AC</t>
  </si>
  <si>
    <t>Eletrodutos e Eletrocalhas</t>
  </si>
  <si>
    <t>Pontos de tomadas e interruptores</t>
  </si>
  <si>
    <t>Cabos e Fiações</t>
  </si>
  <si>
    <t>Quadros e Disjuntores</t>
  </si>
  <si>
    <t>Equipamentos e Iluminação</t>
  </si>
  <si>
    <t>Mão de Obra para Instalações Elétricas</t>
  </si>
  <si>
    <t>INSTALAÇÕES HIDRÁULICAS</t>
  </si>
  <si>
    <t>Instalações de Água Fria</t>
  </si>
  <si>
    <t>Instalações de Água Quente</t>
  </si>
  <si>
    <t>Instalações de Águas Pluviais</t>
  </si>
  <si>
    <t>Instalações Sanitárias</t>
  </si>
  <si>
    <t>Cisterna</t>
  </si>
  <si>
    <t>Sistema de bombas</t>
  </si>
  <si>
    <t>Louças e Metais</t>
  </si>
  <si>
    <t>Mão de Obra para Instalações Hidráulicas</t>
  </si>
  <si>
    <t>INSTALAÇÕES PREVENTIVAS E GLP</t>
  </si>
  <si>
    <t>Instalações Preventivas</t>
  </si>
  <si>
    <t>Instalações de SPDA</t>
  </si>
  <si>
    <t>Instalações de GLP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</si>
  <si>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INSTALAÇÕES</t>
    </r>
  </si>
  <si>
    <t>CLIMATIZAÇÃO, EXAUSTÃO MECÂNICA E PRESSURIZAÇÃO</t>
  </si>
  <si>
    <t>Infraestrutura para Instalação de Ar Condicionado</t>
  </si>
  <si>
    <t>pç</t>
  </si>
  <si>
    <t>R$ / ponto</t>
  </si>
  <si>
    <t>Máquinas de Ar Condiocinado para as áreas comuns</t>
  </si>
  <si>
    <t>R$ / máquina</t>
  </si>
  <si>
    <t>Exaustão Mecânica Garagens</t>
  </si>
  <si>
    <t>R$ / un</t>
  </si>
  <si>
    <t>Ventokit</t>
  </si>
  <si>
    <t>Exaustão Mecânica Corredores</t>
  </si>
  <si>
    <t>pvto</t>
  </si>
  <si>
    <t>CFTV</t>
  </si>
  <si>
    <t>Interfone</t>
  </si>
  <si>
    <t>TV e internet</t>
  </si>
  <si>
    <t>AUTOMAÇÃO</t>
  </si>
  <si>
    <t>Automação, telecomunicação e sistemas de segurança</t>
  </si>
  <si>
    <t>OUTROS SISTEMAS ESPECIAIS</t>
  </si>
  <si>
    <t>Outros sistemas</t>
  </si>
  <si>
    <t>EQUIPAMENTOS</t>
  </si>
  <si>
    <t>Elevadores sociais</t>
  </si>
  <si>
    <t>Grupo de geradores</t>
  </si>
  <si>
    <t>Escada pressurizada</t>
  </si>
  <si>
    <t>R$ / PVTO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</si>
  <si>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IMPERMEABILIZAÇÃO</t>
    </r>
  </si>
  <si>
    <t>Regularização de Superfície</t>
  </si>
  <si>
    <t>Poço do elevador</t>
  </si>
  <si>
    <t>Baldrame</t>
  </si>
  <si>
    <t>Ralos</t>
  </si>
  <si>
    <t>Impermeabilizações cimenticias</t>
  </si>
  <si>
    <t>Impermeabilizações com manta asfaltica</t>
  </si>
  <si>
    <t>Impermeabilização de peitoril</t>
  </si>
  <si>
    <t>Proteção Mecânica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</si>
  <si>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REVESTIMENTOS INTERNOS EM PISO E PAREDE</t>
    </r>
  </si>
  <si>
    <t>Contrapiso</t>
  </si>
  <si>
    <r>
      <rPr>
        <sz val="10"/>
        <color theme="1"/>
        <rFont val="Roboto"/>
      </rP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R$</t>
    </r>
  </si>
  <si>
    <t>Chapisco</t>
  </si>
  <si>
    <t>Reboco</t>
  </si>
  <si>
    <t>Estucamento</t>
  </si>
  <si>
    <t>MO Contrapiso</t>
  </si>
  <si>
    <t>MO Reboco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</si>
  <si>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REVESTIMENTOS E ACABAMENTOS INTERNOS EM TETO</t>
    </r>
  </si>
  <si>
    <t>ACABAMENTOS DE TETO</t>
  </si>
  <si>
    <t>Forro modular</t>
  </si>
  <si>
    <t>Forro de gesso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</si>
  <si>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ACABAMENTOS EM PISO E PAREDE</t>
    </r>
  </si>
  <si>
    <t>Piso porcelanato 80x80</t>
  </si>
  <si>
    <t>rejunte epoxi</t>
  </si>
  <si>
    <t>Piso vinilico</t>
  </si>
  <si>
    <t>Revestimento de piso em paver</t>
  </si>
  <si>
    <t>Revestimento em asfalto</t>
  </si>
  <si>
    <t>Grama</t>
  </si>
  <si>
    <t>Piso concreto estampado</t>
  </si>
  <si>
    <t>Rodapés</t>
  </si>
  <si>
    <t>poliestireno branco</t>
  </si>
  <si>
    <t>Revestimentos de Parede Granito</t>
  </si>
  <si>
    <t>Soleiras e peitoris</t>
  </si>
  <si>
    <t>MO Granito</t>
  </si>
  <si>
    <t>MO Porcelanato</t>
  </si>
  <si>
    <t>MO Laminado</t>
  </si>
  <si>
    <t>PAREDE</t>
  </si>
  <si>
    <t>PISO</t>
  </si>
  <si>
    <t>granito</t>
  </si>
  <si>
    <t>térreo,lazer</t>
  </si>
  <si>
    <t>80x80</t>
  </si>
  <si>
    <t>lazer, 18pvto, 19pvto, terreo, tipo 2, tipo 3, tipo 4, tipo 5, tipo 6</t>
  </si>
  <si>
    <t>pintura branca</t>
  </si>
  <si>
    <t>lazer, subsolo, terreo, tipo 5, cobertura</t>
  </si>
  <si>
    <t>pintura cinza</t>
  </si>
  <si>
    <t>textura - grafiato cinza</t>
  </si>
  <si>
    <t>pintura acrilica</t>
  </si>
  <si>
    <t>vidro</t>
  </si>
  <si>
    <t>madeira</t>
  </si>
  <si>
    <t>mezanino</t>
  </si>
  <si>
    <t>pintura verde</t>
  </si>
  <si>
    <t>terreo</t>
  </si>
  <si>
    <t>cimento polido</t>
  </si>
  <si>
    <t>subsolo</t>
  </si>
  <si>
    <t>aluminio</t>
  </si>
  <si>
    <t>aluminium black</t>
  </si>
  <si>
    <t>telha</t>
  </si>
  <si>
    <t>g1</t>
  </si>
  <si>
    <t>terra</t>
  </si>
  <si>
    <t>g2, g3, g4, g5, g6, g7, g8</t>
  </si>
  <si>
    <t>cobertura</t>
  </si>
  <si>
    <t>grama</t>
  </si>
  <si>
    <t>asfalto</t>
  </si>
  <si>
    <t>paver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</si>
  <si>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PINTURA INTERNA</t>
    </r>
  </si>
  <si>
    <t>Pintura acrílica paredes</t>
  </si>
  <si>
    <t>Pintura acrílica piso</t>
  </si>
  <si>
    <t>Textura grafiato paredes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</si>
  <si>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ESQUADRIAS</t>
    </r>
  </si>
  <si>
    <t>Esquadrias de Alumínio</t>
  </si>
  <si>
    <t>Guarda corpo de vidro</t>
  </si>
  <si>
    <t>Serralherias</t>
  </si>
  <si>
    <t>PCF</t>
  </si>
  <si>
    <t>Corrimão</t>
  </si>
  <si>
    <t>R$ / m</t>
  </si>
  <si>
    <t>Esquadrias Internas de Madeira</t>
  </si>
  <si>
    <t>Portão de alumínio</t>
  </si>
  <si>
    <t>Esquadrias de Vidro</t>
  </si>
  <si>
    <r>
      <rPr>
        <b/>
        <sz val="14"/>
        <color rgb="FF255AE5"/>
        <rFont val="Roboto"/>
      </rPr>
      <t xml:space="preserve">ORÇAMENTO PARAMÉTRICO
</t>
    </r>
    <r>
      <rPr>
        <b/>
        <sz val="11"/>
        <color rgb="FF255AE5"/>
        <rFont val="Roboto"/>
      </rPr>
      <t>COBERTURA</t>
    </r>
  </si>
  <si>
    <t>Cobertura</t>
  </si>
  <si>
    <t>Complementares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</si>
  <si>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EQUIPAMENTOS</t>
    </r>
  </si>
  <si>
    <t>Móveis e decoração</t>
  </si>
  <si>
    <t>R$ / AL</t>
  </si>
  <si>
    <t>Comunicação visual</t>
  </si>
  <si>
    <t>Paisagismo</t>
  </si>
  <si>
    <t>Ligações definitivas</t>
  </si>
  <si>
    <t>Desmobilização</t>
  </si>
  <si>
    <t>Limpeza</t>
  </si>
  <si>
    <r>
      <rPr>
        <b/>
        <sz val="14"/>
        <color rgb="FF293549"/>
        <rFont val="Roboto"/>
      </rPr>
      <t xml:space="preserve">ORÇAMENTO PARAMÉTRICO
</t>
    </r>
    <r>
      <rPr>
        <b/>
        <sz val="11"/>
        <color rgb="FF003C66"/>
        <rFont val="Roboto"/>
      </rPr>
      <t>REVESTIMENTOS E ACABAMENTOS DE FACHADA</t>
    </r>
  </si>
  <si>
    <t>REVESTIMENTOS ARGAMASSADOS</t>
  </si>
  <si>
    <t>Chapisco e Reboco</t>
  </si>
  <si>
    <t>R$/m²</t>
  </si>
  <si>
    <t>PINTURA</t>
  </si>
  <si>
    <t>Textura / Pintura</t>
  </si>
  <si>
    <t>m² / PT * (NPT+NPD+ND)</t>
  </si>
  <si>
    <t>REVESTIMENTOS ESPECIAIS</t>
  </si>
  <si>
    <t>Pele de Vidro - área de vidro</t>
  </si>
  <si>
    <t>RS / m²</t>
  </si>
  <si>
    <t>Pele de Vidro - área ACM plano</t>
  </si>
  <si>
    <t>Pele de Vidro - área ACM volume</t>
  </si>
  <si>
    <t>Revestimento em ACM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</si>
</sst>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164" formatCode="_-* #,##0.00_-;\-* #,##0.00_-;_-* &quot;-&quot;??_-;_-@"/>
    <numFmt numFmtId="165" formatCode="_-* #,##0.0000_-;\-* #,##0.0000_-;_-* &quot;-&quot;??_-;_-@"/>
    <numFmt numFmtId="166" formatCode="_-&quot;R$&quot;\ * #,##0.00_-;\-&quot;R$&quot;\ * #,##0.00_-;_-&quot;R$&quot;\ * &quot;-&quot;??_-;_-@"/>
    <numFmt numFmtId="167" formatCode="_-* #,##0.0000_-;\-* #,##0.0000_-;_-* &quot;-&quot;????_-;_-@"/>
    <numFmt numFmtId="168" formatCode="_-* #,##0.00000000000_-;\-* #,##0.00000000000_-;_-* &quot;-&quot;??_-;_-@"/>
  </numFmts>
  <fonts count="13">
    <font>
      <sz val="11"/>
      <color theme="1"/>
      <name val="Calibri"/>
      <scheme val="minor"/>
    </font>
    <font>
      <sz val="10"/>
      <color theme="1"/>
      <name val="Roboto"/>
    </font>
    <font>
      <sz val="10"/>
      <color rgb="FFFF0000"/>
      <name val="Roboto"/>
    </font>
    <font>
      <b/>
      <sz val="14"/>
      <color rgb="FF293549"/>
      <name val="Roboto"/>
    </font>
    <font>
      <sz val="10"/>
      <color rgb="FF000000"/>
      <name val="Roboto"/>
    </font>
    <font>
      <b/>
      <sz val="10"/>
      <color theme="1"/>
      <name val="Roboto"/>
    </font>
    <font>
      <sz val="11"/>
      <name val="Calibri"/>
    </font>
    <font>
      <b/>
      <u/>
      <sz val="10"/>
      <color theme="1"/>
      <name val="Roboto"/>
    </font>
    <font>
      <b/>
      <u/>
      <sz val="10"/>
      <color theme="1"/>
      <name val="Roboto"/>
    </font>
    <font>
      <b/>
      <sz val="10"/>
      <color theme="0"/>
      <name val="Roboto"/>
    </font>
    <font>
      <b/>
      <sz val="14"/>
      <color rgb="FF255AE5"/>
      <name val="Roboto"/>
    </font>
    <font>
      <b/>
      <sz val="11"/>
      <color rgb="FF003C66"/>
      <name val="Roboto"/>
    </font>
    <font>
      <b/>
      <sz val="11"/>
      <color rgb="FF255AE5"/>
      <name val="Roboto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ECECE"/>
        <bgColor rgb="FFCECECE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001642"/>
        <bgColor rgb="FF001642"/>
      </patternFill>
    </fill>
    <fill>
      <patternFill patternType="solid">
        <fgColor rgb="FF00B050"/>
        <bgColor rgb="FF00B050"/>
      </patternFill>
    </fill>
  </fills>
  <borders count="70">
    <border>
      <left/>
      <right/>
      <top/>
      <bottom/>
      <diagonal/>
    </border>
    <border>
      <left/>
      <right/>
      <top/>
      <bottom style="medium">
        <color rgb="FFCECECE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hair">
        <color rgb="FF7F7F7F"/>
      </top>
      <bottom style="hair">
        <color rgb="FF7F7F7F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 style="thin">
        <color rgb="FF7F7F7F"/>
      </right>
      <top style="hair">
        <color rgb="FF7F7F7F"/>
      </top>
      <bottom style="hair">
        <color rgb="FF7F7F7F"/>
      </bottom>
      <diagonal/>
    </border>
    <border>
      <left style="thin">
        <color rgb="FF7F7F7F"/>
      </left>
      <right/>
      <top style="hair">
        <color rgb="FF7F7F7F"/>
      </top>
      <bottom style="thin">
        <color rgb="FF7F7F7F"/>
      </bottom>
      <diagonal/>
    </border>
    <border>
      <left/>
      <right/>
      <top style="hair">
        <color rgb="FF7F7F7F"/>
      </top>
      <bottom style="thin">
        <color rgb="FF7F7F7F"/>
      </bottom>
      <diagonal/>
    </border>
    <border>
      <left/>
      <right style="thin">
        <color rgb="FF7F7F7F"/>
      </right>
      <top style="hair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hair">
        <color rgb="FF7F7F7F"/>
      </bottom>
      <diagonal/>
    </border>
    <border>
      <left/>
      <right/>
      <top style="thin">
        <color rgb="FF7F7F7F"/>
      </top>
      <bottom style="hair">
        <color rgb="FF7F7F7F"/>
      </bottom>
      <diagonal/>
    </border>
    <border>
      <left/>
      <right style="thin">
        <color rgb="FF7F7F7F"/>
      </right>
      <top style="thin">
        <color rgb="FF7F7F7F"/>
      </top>
      <bottom style="hair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hair">
        <color rgb="FF7F7F7F"/>
      </top>
      <bottom/>
      <diagonal/>
    </border>
    <border>
      <left style="thin">
        <color rgb="FF7F7F7F"/>
      </left>
      <right/>
      <top/>
      <bottom style="hair">
        <color rgb="FF7F7F7F"/>
      </bottom>
      <diagonal/>
    </border>
    <border>
      <left/>
      <right style="thin">
        <color rgb="FF7F7F7F"/>
      </right>
      <top/>
      <bottom style="hair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hair">
        <color rgb="FF7F7F7F"/>
      </bottom>
      <diagonal/>
    </border>
    <border>
      <left style="thin">
        <color rgb="FF7F7F7F"/>
      </left>
      <right style="thin">
        <color rgb="FF7F7F7F"/>
      </right>
      <top style="hair">
        <color rgb="FF7F7F7F"/>
      </top>
      <bottom style="hair">
        <color rgb="FF7F7F7F"/>
      </bottom>
      <diagonal/>
    </border>
    <border>
      <left style="thin">
        <color rgb="FF7F7F7F"/>
      </left>
      <right style="thin">
        <color rgb="FF7F7F7F"/>
      </right>
      <top style="hair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7F7F7F"/>
      </bottom>
      <diagonal/>
    </border>
    <border>
      <left/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/>
      <top style="thin">
        <color rgb="FF000000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7F7F7F"/>
      </bottom>
      <diagonal/>
    </border>
    <border>
      <left style="thin">
        <color rgb="FF000000"/>
      </left>
      <right/>
      <top style="thin">
        <color rgb="FF7F7F7F"/>
      </top>
      <bottom style="hair">
        <color rgb="FF7F7F7F"/>
      </bottom>
      <diagonal/>
    </border>
    <border>
      <left style="thin">
        <color rgb="FF000000"/>
      </left>
      <right/>
      <top style="hair">
        <color rgb="FF7F7F7F"/>
      </top>
      <bottom style="hair">
        <color rgb="FF7F7F7F"/>
      </bottom>
      <diagonal/>
    </border>
    <border>
      <left style="thin">
        <color rgb="FF000000"/>
      </left>
      <right/>
      <top style="hair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hair">
        <color rgb="FF7F7F7F"/>
      </bottom>
      <diagonal/>
    </border>
    <border>
      <left/>
      <right/>
      <top/>
      <bottom style="hair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/>
      <top style="thin">
        <color rgb="FF000000"/>
      </top>
      <bottom style="thin">
        <color rgb="FF7F7F7F"/>
      </bottom>
      <diagonal/>
    </border>
    <border>
      <left/>
      <right style="thin">
        <color rgb="FF000000"/>
      </right>
      <top style="thin">
        <color rgb="FF000000"/>
      </top>
      <bottom style="thin">
        <color rgb="FF7F7F7F"/>
      </bottom>
      <diagonal/>
    </border>
    <border>
      <left/>
      <right style="thin">
        <color rgb="FF000000"/>
      </right>
      <top style="hair">
        <color rgb="FF7F7F7F"/>
      </top>
      <bottom style="hair">
        <color rgb="FF7F7F7F"/>
      </bottom>
      <diagonal/>
    </border>
    <border>
      <left style="thin">
        <color rgb="FF000000"/>
      </left>
      <right/>
      <top style="thin">
        <color rgb="FF7F7F7F"/>
      </top>
      <bottom style="thin">
        <color rgb="FF000000"/>
      </bottom>
      <diagonal/>
    </border>
    <border>
      <left/>
      <right/>
      <top style="thin">
        <color rgb="FF7F7F7F"/>
      </top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000000"/>
      </bottom>
      <diagonal/>
    </border>
    <border>
      <left/>
      <right style="thin">
        <color rgb="FF000000"/>
      </right>
      <top style="thin">
        <color rgb="FF7F7F7F"/>
      </top>
      <bottom style="thin">
        <color rgb="FF000000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5" borderId="13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5" borderId="19" xfId="0" applyFont="1" applyFill="1" applyBorder="1" applyAlignment="1">
      <alignment horizontal="left" vertical="center"/>
    </xf>
    <xf numFmtId="10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24" xfId="0" applyFont="1" applyBorder="1" applyAlignment="1">
      <alignment vertical="center"/>
    </xf>
    <xf numFmtId="0" fontId="5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4" fontId="1" fillId="0" borderId="24" xfId="0" applyNumberFormat="1" applyFont="1" applyBorder="1" applyAlignment="1">
      <alignment horizontal="center" vertical="center" wrapText="1"/>
    </xf>
    <xf numFmtId="164" fontId="1" fillId="0" borderId="31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164" fontId="1" fillId="0" borderId="37" xfId="0" applyNumberFormat="1" applyFont="1" applyBorder="1" applyAlignment="1">
      <alignment horizontal="left" vertical="center" wrapText="1"/>
    </xf>
    <xf numFmtId="164" fontId="1" fillId="0" borderId="28" xfId="0" applyNumberFormat="1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/>
    </xf>
    <xf numFmtId="164" fontId="1" fillId="0" borderId="34" xfId="0" applyNumberFormat="1" applyFont="1" applyBorder="1" applyAlignment="1">
      <alignment horizontal="center" vertical="center"/>
    </xf>
    <xf numFmtId="164" fontId="1" fillId="0" borderId="34" xfId="0" applyNumberFormat="1" applyFont="1" applyBorder="1" applyAlignment="1">
      <alignment vertical="center"/>
    </xf>
    <xf numFmtId="164" fontId="5" fillId="0" borderId="34" xfId="0" applyNumberFormat="1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9" fillId="7" borderId="3" xfId="0" applyFont="1" applyFill="1" applyBorder="1" applyAlignment="1">
      <alignment horizontal="right" vertical="center"/>
    </xf>
    <xf numFmtId="4" fontId="9" fillId="7" borderId="3" xfId="0" applyNumberFormat="1" applyFont="1" applyFill="1" applyBorder="1" applyAlignment="1">
      <alignment horizontal="right" vertical="center"/>
    </xf>
    <xf numFmtId="164" fontId="9" fillId="7" borderId="3" xfId="0" applyNumberFormat="1" applyFont="1" applyFill="1" applyBorder="1" applyAlignment="1">
      <alignment horizontal="right" vertical="center"/>
    </xf>
    <xf numFmtId="8" fontId="9" fillId="7" borderId="3" xfId="0" applyNumberFormat="1" applyFont="1" applyFill="1" applyBorder="1" applyAlignment="1">
      <alignment horizontal="right" vertical="center"/>
    </xf>
    <xf numFmtId="17" fontId="9" fillId="7" borderId="3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0" borderId="21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 wrapText="1"/>
    </xf>
    <xf numFmtId="165" fontId="1" fillId="0" borderId="37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 wrapText="1"/>
    </xf>
    <xf numFmtId="165" fontId="1" fillId="0" borderId="28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9" fontId="1" fillId="0" borderId="0" xfId="0" applyNumberFormat="1" applyFont="1" applyAlignment="1">
      <alignment vertical="center"/>
    </xf>
    <xf numFmtId="164" fontId="1" fillId="0" borderId="45" xfId="0" applyNumberFormat="1" applyFont="1" applyBorder="1" applyAlignment="1">
      <alignment horizontal="center" vertical="center" wrapText="1"/>
    </xf>
    <xf numFmtId="164" fontId="1" fillId="0" borderId="46" xfId="0" applyNumberFormat="1" applyFont="1" applyBorder="1" applyAlignment="1">
      <alignment horizontal="left" vertical="center" wrapText="1"/>
    </xf>
    <xf numFmtId="164" fontId="1" fillId="0" borderId="46" xfId="0" applyNumberFormat="1" applyFont="1" applyBorder="1" applyAlignment="1">
      <alignment horizontal="center" vertical="center" wrapText="1"/>
    </xf>
    <xf numFmtId="165" fontId="1" fillId="0" borderId="46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164" fontId="1" fillId="0" borderId="48" xfId="0" applyNumberFormat="1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vertical="center"/>
    </xf>
    <xf numFmtId="0" fontId="5" fillId="4" borderId="55" xfId="0" applyFont="1" applyFill="1" applyBorder="1" applyAlignment="1">
      <alignment horizontal="center" vertical="center"/>
    </xf>
    <xf numFmtId="164" fontId="1" fillId="0" borderId="49" xfId="0" applyNumberFormat="1" applyFont="1" applyBorder="1" applyAlignment="1">
      <alignment horizontal="left" vertical="center" wrapText="1"/>
    </xf>
    <xf numFmtId="0" fontId="1" fillId="0" borderId="29" xfId="0" applyFont="1" applyBorder="1" applyAlignment="1">
      <alignment horizontal="center" vertical="center" wrapText="1"/>
    </xf>
    <xf numFmtId="166" fontId="1" fillId="0" borderId="0" xfId="0" applyNumberFormat="1" applyFont="1" applyAlignment="1">
      <alignment vertical="center"/>
    </xf>
    <xf numFmtId="164" fontId="1" fillId="0" borderId="59" xfId="0" applyNumberFormat="1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165" fontId="1" fillId="0" borderId="31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4" fontId="1" fillId="0" borderId="0" xfId="0" applyNumberFormat="1" applyFont="1" applyAlignment="1">
      <alignment vertical="center"/>
    </xf>
    <xf numFmtId="0" fontId="1" fillId="0" borderId="49" xfId="0" applyFont="1" applyBorder="1" applyAlignment="1">
      <alignment horizontal="center" vertical="center" wrapText="1"/>
    </xf>
    <xf numFmtId="164" fontId="1" fillId="0" borderId="61" xfId="0" applyNumberFormat="1" applyFont="1" applyBorder="1" applyAlignment="1">
      <alignment horizontal="center" vertical="center" wrapText="1"/>
    </xf>
    <xf numFmtId="165" fontId="1" fillId="0" borderId="23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 wrapText="1"/>
    </xf>
    <xf numFmtId="164" fontId="1" fillId="0" borderId="48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168" fontId="1" fillId="0" borderId="0" xfId="0" applyNumberFormat="1" applyFont="1" applyAlignment="1">
      <alignment vertical="center"/>
    </xf>
    <xf numFmtId="164" fontId="1" fillId="8" borderId="3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vertical="center"/>
    </xf>
    <xf numFmtId="165" fontId="1" fillId="0" borderId="48" xfId="0" applyNumberFormat="1" applyFont="1" applyBorder="1" applyAlignment="1">
      <alignment horizontal="center" vertical="center"/>
    </xf>
    <xf numFmtId="165" fontId="1" fillId="0" borderId="49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50" xfId="0" applyFont="1" applyBorder="1" applyAlignment="1">
      <alignment horizontal="center" vertical="center"/>
    </xf>
    <xf numFmtId="165" fontId="1" fillId="0" borderId="50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167" fontId="1" fillId="0" borderId="50" xfId="0" applyNumberFormat="1" applyFont="1" applyBorder="1" applyAlignment="1">
      <alignment horizontal="center" vertical="center"/>
    </xf>
    <xf numFmtId="164" fontId="1" fillId="5" borderId="14" xfId="0" applyNumberFormat="1" applyFont="1" applyFill="1" applyBorder="1" applyAlignment="1">
      <alignment horizontal="center" vertical="center"/>
    </xf>
    <xf numFmtId="0" fontId="6" fillId="0" borderId="15" xfId="0" applyFont="1" applyBorder="1"/>
    <xf numFmtId="0" fontId="6" fillId="0" borderId="18" xfId="0" applyFont="1" applyBorder="1"/>
    <xf numFmtId="0" fontId="1" fillId="0" borderId="14" xfId="0" applyFont="1" applyBorder="1" applyAlignment="1">
      <alignment horizontal="left" vertical="center"/>
    </xf>
    <xf numFmtId="0" fontId="6" fillId="0" borderId="16" xfId="0" applyFont="1" applyBorder="1"/>
    <xf numFmtId="0" fontId="5" fillId="4" borderId="5" xfId="0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0" fontId="1" fillId="0" borderId="8" xfId="0" applyFont="1" applyBorder="1" applyAlignment="1">
      <alignment horizontal="left" vertical="center"/>
    </xf>
    <xf numFmtId="0" fontId="6" fillId="0" borderId="9" xfId="0" applyFont="1" applyBorder="1"/>
    <xf numFmtId="0" fontId="6" fillId="0" borderId="10" xfId="0" applyFont="1" applyBorder="1"/>
    <xf numFmtId="164" fontId="1" fillId="5" borderId="8" xfId="0" applyNumberFormat="1" applyFont="1" applyFill="1" applyBorder="1" applyAlignment="1">
      <alignment horizontal="center" vertical="center"/>
    </xf>
    <xf numFmtId="0" fontId="6" fillId="0" borderId="12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/>
    <xf numFmtId="0" fontId="5" fillId="3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14" fontId="1" fillId="3" borderId="5" xfId="0" applyNumberFormat="1" applyFont="1" applyFill="1" applyBorder="1" applyAlignment="1">
      <alignment horizontal="left" vertical="center"/>
    </xf>
    <xf numFmtId="0" fontId="1" fillId="3" borderId="5" xfId="0" applyFont="1" applyFill="1" applyBorder="1" applyAlignment="1">
      <alignment vertical="center"/>
    </xf>
    <xf numFmtId="0" fontId="5" fillId="6" borderId="25" xfId="0" applyFont="1" applyFill="1" applyBorder="1" applyAlignment="1">
      <alignment horizontal="center" vertical="center" wrapText="1"/>
    </xf>
    <xf numFmtId="0" fontId="6" fillId="0" borderId="26" xfId="0" applyFont="1" applyBorder="1"/>
    <xf numFmtId="0" fontId="6" fillId="0" borderId="27" xfId="0" applyFont="1" applyBorder="1"/>
    <xf numFmtId="164" fontId="1" fillId="0" borderId="28" xfId="0" applyNumberFormat="1" applyFont="1" applyBorder="1" applyAlignment="1">
      <alignment horizontal="center" vertical="center"/>
    </xf>
    <xf numFmtId="0" fontId="6" fillId="0" borderId="29" xfId="0" applyFont="1" applyBorder="1"/>
    <xf numFmtId="0" fontId="6" fillId="0" borderId="30" xfId="0" applyFont="1" applyBorder="1"/>
    <xf numFmtId="164" fontId="5" fillId="6" borderId="25" xfId="0" applyNumberFormat="1" applyFont="1" applyFill="1" applyBorder="1" applyAlignment="1">
      <alignment horizontal="center" vertical="center"/>
    </xf>
    <xf numFmtId="4" fontId="9" fillId="7" borderId="41" xfId="0" applyNumberFormat="1" applyFont="1" applyFill="1" applyBorder="1" applyAlignment="1">
      <alignment horizontal="right" vertical="center"/>
    </xf>
    <xf numFmtId="0" fontId="6" fillId="0" borderId="42" xfId="0" applyFont="1" applyBorder="1"/>
    <xf numFmtId="0" fontId="6" fillId="0" borderId="43" xfId="0" applyFont="1" applyBorder="1"/>
    <xf numFmtId="0" fontId="5" fillId="4" borderId="25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left" vertical="center"/>
    </xf>
    <xf numFmtId="0" fontId="6" fillId="0" borderId="36" xfId="0" applyFont="1" applyBorder="1"/>
    <xf numFmtId="164" fontId="1" fillId="0" borderId="25" xfId="0" applyNumberFormat="1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37" xfId="0" applyFont="1" applyBorder="1" applyAlignment="1">
      <alignment horizontal="left" vertical="center" wrapText="1"/>
    </xf>
    <xf numFmtId="0" fontId="6" fillId="0" borderId="38" xfId="0" applyFont="1" applyBorder="1"/>
    <xf numFmtId="0" fontId="6" fillId="0" borderId="39" xfId="0" applyFont="1" applyBorder="1"/>
    <xf numFmtId="164" fontId="1" fillId="0" borderId="37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left" vertical="center" wrapText="1"/>
    </xf>
    <xf numFmtId="164" fontId="1" fillId="0" borderId="28" xfId="0" applyNumberFormat="1" applyFont="1" applyBorder="1" applyAlignment="1">
      <alignment horizontal="left" vertical="center" wrapText="1"/>
    </xf>
    <xf numFmtId="164" fontId="1" fillId="0" borderId="31" xfId="0" applyNumberFormat="1" applyFont="1" applyBorder="1" applyAlignment="1">
      <alignment horizontal="center" vertical="center"/>
    </xf>
    <xf numFmtId="0" fontId="6" fillId="0" borderId="32" xfId="0" applyFont="1" applyBorder="1"/>
    <xf numFmtId="0" fontId="6" fillId="0" borderId="33" xfId="0" applyFont="1" applyBorder="1"/>
    <xf numFmtId="166" fontId="1" fillId="0" borderId="31" xfId="0" applyNumberFormat="1" applyFont="1" applyBorder="1" applyAlignment="1">
      <alignment horizontal="center" vertical="center"/>
    </xf>
    <xf numFmtId="166" fontId="5" fillId="6" borderId="25" xfId="0" applyNumberFormat="1" applyFont="1" applyFill="1" applyBorder="1" applyAlignment="1">
      <alignment horizontal="center" vertical="center"/>
    </xf>
    <xf numFmtId="166" fontId="1" fillId="0" borderId="37" xfId="0" applyNumberFormat="1" applyFont="1" applyBorder="1" applyAlignment="1">
      <alignment horizontal="center" vertical="center"/>
    </xf>
    <xf numFmtId="164" fontId="5" fillId="4" borderId="25" xfId="0" applyNumberFormat="1" applyFont="1" applyFill="1" applyBorder="1" applyAlignment="1">
      <alignment horizontal="center" vertical="center"/>
    </xf>
    <xf numFmtId="166" fontId="1" fillId="0" borderId="28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left" vertical="center" wrapText="1"/>
    </xf>
    <xf numFmtId="0" fontId="1" fillId="0" borderId="54" xfId="0" applyFont="1" applyBorder="1" applyAlignment="1">
      <alignment horizontal="center" vertical="center"/>
    </xf>
    <xf numFmtId="0" fontId="6" fillId="0" borderId="52" xfId="0" applyFont="1" applyBorder="1"/>
    <xf numFmtId="164" fontId="1" fillId="0" borderId="40" xfId="0" applyNumberFormat="1" applyFont="1" applyBorder="1" applyAlignment="1">
      <alignment horizontal="center" vertical="center"/>
    </xf>
    <xf numFmtId="0" fontId="6" fillId="0" borderId="34" xfId="0" applyFont="1" applyBorder="1"/>
    <xf numFmtId="166" fontId="1" fillId="0" borderId="46" xfId="0" applyNumberFormat="1" applyFont="1" applyBorder="1" applyAlignment="1">
      <alignment horizontal="center" vertical="center"/>
    </xf>
    <xf numFmtId="0" fontId="6" fillId="0" borderId="47" xfId="0" applyFont="1" applyBorder="1"/>
    <xf numFmtId="0" fontId="1" fillId="0" borderId="57" xfId="0" applyFont="1" applyBorder="1" applyAlignment="1">
      <alignment horizontal="left" vertical="center" wrapText="1"/>
    </xf>
    <xf numFmtId="0" fontId="1" fillId="0" borderId="58" xfId="0" applyFont="1" applyBorder="1" applyAlignment="1">
      <alignment horizontal="left" vertical="center" wrapText="1"/>
    </xf>
    <xf numFmtId="0" fontId="5" fillId="4" borderId="51" xfId="0" applyFont="1" applyFill="1" applyBorder="1" applyAlignment="1">
      <alignment horizontal="left" vertical="center"/>
    </xf>
    <xf numFmtId="0" fontId="6" fillId="0" borderId="53" xfId="0" applyFont="1" applyBorder="1"/>
    <xf numFmtId="0" fontId="1" fillId="0" borderId="56" xfId="0" applyFont="1" applyBorder="1" applyAlignment="1">
      <alignment horizontal="left" vertical="center" wrapText="1"/>
    </xf>
    <xf numFmtId="164" fontId="5" fillId="4" borderId="54" xfId="0" applyNumberFormat="1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1" fillId="0" borderId="3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40" xfId="0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vertical="center" wrapText="1"/>
    </xf>
    <xf numFmtId="0" fontId="1" fillId="0" borderId="46" xfId="0" applyFont="1" applyBorder="1" applyAlignment="1">
      <alignment horizontal="left" vertical="center" wrapText="1"/>
    </xf>
    <xf numFmtId="0" fontId="6" fillId="0" borderId="60" xfId="0" applyFont="1" applyBorder="1"/>
    <xf numFmtId="0" fontId="6" fillId="0" borderId="64" xfId="0" applyFont="1" applyBorder="1"/>
    <xf numFmtId="0" fontId="6" fillId="0" borderId="62" xfId="0" applyFont="1" applyBorder="1"/>
    <xf numFmtId="0" fontId="6" fillId="0" borderId="63" xfId="0" applyFont="1" applyBorder="1"/>
    <xf numFmtId="0" fontId="5" fillId="6" borderId="65" xfId="0" applyFont="1" applyFill="1" applyBorder="1" applyAlignment="1">
      <alignment horizontal="center" vertical="center" wrapText="1"/>
    </xf>
    <xf numFmtId="0" fontId="6" fillId="0" borderId="66" xfId="0" applyFont="1" applyBorder="1"/>
    <xf numFmtId="0" fontId="6" fillId="0" borderId="67" xfId="0" applyFont="1" applyBorder="1"/>
    <xf numFmtId="164" fontId="5" fillId="6" borderId="68" xfId="0" applyNumberFormat="1" applyFont="1" applyFill="1" applyBorder="1" applyAlignment="1">
      <alignment horizontal="center" vertical="center"/>
    </xf>
    <xf numFmtId="0" fontId="6" fillId="0" borderId="69" xfId="0" applyFont="1" applyBorder="1"/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161925</xdr:colOff>
      <xdr:row>0</xdr:row>
      <xdr:rowOff>28575</xdr:rowOff>
    </xdr:from>
    <xdr:ext cx="923925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561975</xdr:colOff>
      <xdr:row>0</xdr:row>
      <xdr:rowOff>66675</xdr:rowOff>
    </xdr:from>
    <xdr:ext cx="942975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66675</xdr:rowOff>
    </xdr:from>
    <xdr:ext cx="90487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66675</xdr:rowOff>
    </xdr:from>
    <xdr:ext cx="942975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66675</xdr:rowOff>
    </xdr:from>
    <xdr:ext cx="971550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66675</xdr:rowOff>
    </xdr:from>
    <xdr:ext cx="923925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66675</xdr:rowOff>
    </xdr:from>
    <xdr:ext cx="93345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66675</xdr:rowOff>
    </xdr:from>
    <xdr:ext cx="9144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66675</xdr:rowOff>
    </xdr:from>
    <xdr:ext cx="923925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66675</xdr:rowOff>
    </xdr:from>
    <xdr:ext cx="933450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66675</xdr:rowOff>
    </xdr:from>
    <xdr:ext cx="9239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66675</xdr:rowOff>
    </xdr:from>
    <xdr:ext cx="94297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66675</xdr:rowOff>
    </xdr:from>
    <xdr:ext cx="9239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66675</xdr:rowOff>
    </xdr:from>
    <xdr:ext cx="94297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590550</xdr:colOff>
      <xdr:row>1</xdr:row>
      <xdr:rowOff>76200</xdr:rowOff>
    </xdr:from>
    <xdr:ext cx="1933575" cy="3048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66675</xdr:rowOff>
    </xdr:from>
    <xdr:ext cx="90487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.shortcut-targets-by-id\1GzSYwojBbPnZGRQCtS-GmzExAA4ljDOh\5.%20Artefacto\01.%20Integra&#231;&#227;o\01.1%20Integra&#231;&#227;o%20-%20Or&#231;amento%20Param&#233;trico\MTH_CK-ART_Gerenciamento_executivo_embasa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Impermeabilização"/>
      <sheetName val="Rev. Internos Piso e Parede"/>
      <sheetName val="Acabamentos de Teto"/>
      <sheetName val="Esquadrias"/>
      <sheetName val="Acabamentos de Piso e Parede"/>
      <sheetName val="Pintura Interna"/>
      <sheetName val="Rev. Fachada"/>
      <sheetName val="Cobertura"/>
      <sheetName val="Equipamentos"/>
      <sheetName val="Complementa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BFBF"/>
  </sheetPr>
  <dimension ref="A1:Z1000"/>
  <sheetViews>
    <sheetView showGridLines="0" workbookViewId="0"/>
  </sheetViews>
  <sheetFormatPr defaultColWidth="14.44140625" defaultRowHeight="15" customHeight="1"/>
  <cols>
    <col min="1" max="1" width="17.44140625" customWidth="1"/>
    <col min="2" max="2" width="9.88671875" customWidth="1"/>
    <col min="3" max="3" width="14" customWidth="1"/>
    <col min="4" max="4" width="12.6640625" customWidth="1"/>
    <col min="5" max="5" width="8.33203125" customWidth="1"/>
    <col min="6" max="6" width="5.6640625" customWidth="1"/>
    <col min="7" max="7" width="7.33203125" customWidth="1"/>
    <col min="8" max="8" width="15.88671875" customWidth="1"/>
    <col min="9" max="9" width="12" customWidth="1"/>
    <col min="10" max="10" width="7.33203125" customWidth="1"/>
    <col min="11" max="11" width="9.5546875" customWidth="1"/>
    <col min="12" max="26" width="9.109375" customWidth="1"/>
  </cols>
  <sheetData>
    <row r="1" spans="1:2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4"/>
      <c r="E5" s="4"/>
      <c r="F5" s="4"/>
      <c r="G5" s="4"/>
      <c r="H5" s="4"/>
      <c r="I5" s="4"/>
      <c r="J5" s="4"/>
      <c r="K5" s="4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19" t="s">
        <v>14</v>
      </c>
      <c r="B12" s="120"/>
      <c r="C12" s="121"/>
      <c r="D12" s="11" t="s">
        <v>15</v>
      </c>
      <c r="E12" s="119" t="s">
        <v>16</v>
      </c>
      <c r="F12" s="120"/>
      <c r="G12" s="120"/>
      <c r="H12" s="12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22" t="s">
        <v>17</v>
      </c>
      <c r="B13" s="123"/>
      <c r="C13" s="124"/>
      <c r="D13" s="12" t="s">
        <v>18</v>
      </c>
      <c r="E13" s="125">
        <v>2671.88</v>
      </c>
      <c r="F13" s="123"/>
      <c r="G13" s="126"/>
      <c r="H13" s="13" t="s">
        <v>19</v>
      </c>
      <c r="I13" s="1" t="s">
        <v>20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17" t="s">
        <v>21</v>
      </c>
      <c r="B14" s="115"/>
      <c r="C14" s="118"/>
      <c r="D14" s="14" t="s">
        <v>22</v>
      </c>
      <c r="E14" s="114">
        <v>47.74</v>
      </c>
      <c r="F14" s="115"/>
      <c r="G14" s="116"/>
      <c r="H14" s="15" t="s">
        <v>23</v>
      </c>
      <c r="I14" s="1" t="s">
        <v>20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17" t="s">
        <v>24</v>
      </c>
      <c r="B15" s="115"/>
      <c r="C15" s="118"/>
      <c r="D15" s="14" t="s">
        <v>25</v>
      </c>
      <c r="E15" s="114">
        <v>52516.04</v>
      </c>
      <c r="F15" s="115"/>
      <c r="G15" s="116"/>
      <c r="H15" s="15" t="s">
        <v>19</v>
      </c>
      <c r="I15" s="1" t="s">
        <v>20</v>
      </c>
      <c r="J15" s="1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17" t="s">
        <v>26</v>
      </c>
      <c r="B16" s="115"/>
      <c r="C16" s="118"/>
      <c r="D16" s="14" t="s">
        <v>27</v>
      </c>
      <c r="E16" s="114">
        <v>35</v>
      </c>
      <c r="F16" s="115"/>
      <c r="G16" s="116"/>
      <c r="H16" s="15" t="s">
        <v>28</v>
      </c>
      <c r="I16" s="1" t="s">
        <v>20</v>
      </c>
      <c r="J16" s="1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17" t="s">
        <v>29</v>
      </c>
      <c r="B17" s="115"/>
      <c r="C17" s="118"/>
      <c r="D17" s="14" t="s">
        <v>30</v>
      </c>
      <c r="E17" s="114">
        <v>21</v>
      </c>
      <c r="F17" s="115"/>
      <c r="G17" s="116"/>
      <c r="H17" s="15" t="s">
        <v>28</v>
      </c>
      <c r="I17" s="1" t="s">
        <v>20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17" t="s">
        <v>31</v>
      </c>
      <c r="B18" s="115"/>
      <c r="C18" s="118"/>
      <c r="D18" s="14" t="s">
        <v>32</v>
      </c>
      <c r="E18" s="114">
        <v>0</v>
      </c>
      <c r="F18" s="115"/>
      <c r="G18" s="116"/>
      <c r="H18" s="15" t="s">
        <v>28</v>
      </c>
      <c r="I18" s="1" t="s">
        <v>20</v>
      </c>
      <c r="J18" s="1"/>
      <c r="K18" s="1"/>
      <c r="L18" s="1"/>
      <c r="M18" s="1"/>
      <c r="N18" s="1"/>
      <c r="O18" s="1">
        <v>2368.23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17" t="s">
        <v>33</v>
      </c>
      <c r="B19" s="115"/>
      <c r="C19" s="118"/>
      <c r="D19" s="14" t="s">
        <v>34</v>
      </c>
      <c r="E19" s="114">
        <v>0</v>
      </c>
      <c r="F19" s="115"/>
      <c r="G19" s="116"/>
      <c r="H19" s="15" t="s">
        <v>28</v>
      </c>
      <c r="I19" s="1" t="s">
        <v>20</v>
      </c>
      <c r="J19" s="1"/>
      <c r="K19" s="1"/>
      <c r="L19" s="1"/>
      <c r="M19" s="1"/>
      <c r="N19" s="1"/>
      <c r="O19" s="1">
        <v>2314.98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17" t="s">
        <v>35</v>
      </c>
      <c r="B20" s="115"/>
      <c r="C20" s="118"/>
      <c r="D20" s="14" t="s">
        <v>36</v>
      </c>
      <c r="E20" s="114">
        <v>1700.42</v>
      </c>
      <c r="F20" s="115"/>
      <c r="G20" s="116"/>
      <c r="H20" s="15" t="s">
        <v>19</v>
      </c>
      <c r="I20" s="17" t="s">
        <v>20</v>
      </c>
      <c r="J20" s="1"/>
      <c r="K20" s="1"/>
      <c r="L20" s="1"/>
      <c r="M20" s="1"/>
      <c r="N20" s="1"/>
      <c r="O20" s="1">
        <v>2314.98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17" t="s">
        <v>37</v>
      </c>
      <c r="B21" s="115"/>
      <c r="C21" s="118"/>
      <c r="D21" s="14" t="s">
        <v>38</v>
      </c>
      <c r="E21" s="114">
        <v>234.93</v>
      </c>
      <c r="F21" s="115"/>
      <c r="G21" s="116"/>
      <c r="H21" s="15" t="s">
        <v>23</v>
      </c>
      <c r="I21" s="1" t="s">
        <v>20</v>
      </c>
      <c r="J21" s="1"/>
      <c r="K21" s="1"/>
      <c r="L21" s="1"/>
      <c r="M21" s="1"/>
      <c r="N21" s="1"/>
      <c r="O21" s="1">
        <v>2314.98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17" t="s">
        <v>39</v>
      </c>
      <c r="B22" s="115"/>
      <c r="C22" s="118"/>
      <c r="D22" s="14" t="s">
        <v>40</v>
      </c>
      <c r="E22" s="114">
        <v>2031.39</v>
      </c>
      <c r="F22" s="115"/>
      <c r="G22" s="116"/>
      <c r="H22" s="15" t="s">
        <v>19</v>
      </c>
      <c r="I22" s="1" t="s">
        <v>20</v>
      </c>
      <c r="J22" s="1"/>
      <c r="K22" s="1"/>
      <c r="L22" s="1"/>
      <c r="M22" s="1"/>
      <c r="N22" s="1"/>
      <c r="O22" s="1">
        <v>2319.46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17" t="s">
        <v>41</v>
      </c>
      <c r="B23" s="115"/>
      <c r="C23" s="118"/>
      <c r="D23" s="14" t="s">
        <v>42</v>
      </c>
      <c r="E23" s="114">
        <v>268.93</v>
      </c>
      <c r="F23" s="115"/>
      <c r="G23" s="116"/>
      <c r="H23" s="15" t="s">
        <v>23</v>
      </c>
      <c r="I23" s="1" t="s">
        <v>20</v>
      </c>
      <c r="J23" s="1"/>
      <c r="K23" s="1"/>
      <c r="L23" s="1"/>
      <c r="M23" s="1"/>
      <c r="N23" s="1"/>
      <c r="O23" s="1">
        <v>2048.87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17" t="s">
        <v>43</v>
      </c>
      <c r="B24" s="115"/>
      <c r="C24" s="118"/>
      <c r="D24" s="14" t="s">
        <v>44</v>
      </c>
      <c r="E24" s="114">
        <v>19828.099999999999</v>
      </c>
      <c r="F24" s="115"/>
      <c r="G24" s="116"/>
      <c r="H24" s="15" t="s">
        <v>19</v>
      </c>
      <c r="I24" s="1" t="s">
        <v>20</v>
      </c>
      <c r="J24" s="1"/>
      <c r="K24" s="1"/>
      <c r="L24" s="1"/>
      <c r="M24" s="1"/>
      <c r="N24" s="1"/>
      <c r="O24" s="1">
        <v>2048.87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17" t="s">
        <v>45</v>
      </c>
      <c r="B25" s="115"/>
      <c r="C25" s="118"/>
      <c r="D25" s="14" t="s">
        <v>46</v>
      </c>
      <c r="E25" s="114">
        <v>2193.38</v>
      </c>
      <c r="F25" s="115"/>
      <c r="G25" s="116"/>
      <c r="H25" s="15" t="s">
        <v>19</v>
      </c>
      <c r="I25" s="1" t="s">
        <v>20</v>
      </c>
      <c r="J25" s="1"/>
      <c r="K25" s="1"/>
      <c r="L25" s="1"/>
      <c r="M25" s="1"/>
      <c r="N25" s="1"/>
      <c r="O25" s="1">
        <v>2048.87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17" t="s">
        <v>47</v>
      </c>
      <c r="B26" s="115"/>
      <c r="C26" s="118"/>
      <c r="D26" s="14" t="s">
        <v>48</v>
      </c>
      <c r="E26" s="114">
        <v>1</v>
      </c>
      <c r="F26" s="115"/>
      <c r="G26" s="116"/>
      <c r="H26" s="15" t="s">
        <v>28</v>
      </c>
      <c r="I26" s="1" t="s">
        <v>20</v>
      </c>
      <c r="J26" s="1"/>
      <c r="K26" s="1"/>
      <c r="L26" s="1"/>
      <c r="M26" s="1"/>
      <c r="N26" s="1"/>
      <c r="O26" s="1">
        <v>2048.87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17" t="s">
        <v>49</v>
      </c>
      <c r="B27" s="115"/>
      <c r="C27" s="118"/>
      <c r="D27" s="14" t="s">
        <v>50</v>
      </c>
      <c r="E27" s="114">
        <v>2670.58</v>
      </c>
      <c r="F27" s="115"/>
      <c r="G27" s="116"/>
      <c r="H27" s="15" t="s">
        <v>19</v>
      </c>
      <c r="I27" s="1" t="s">
        <v>20</v>
      </c>
      <c r="J27" s="1"/>
      <c r="K27" s="1"/>
      <c r="L27" s="1"/>
      <c r="M27" s="1"/>
      <c r="N27" s="1"/>
      <c r="O27" s="1">
        <f>SUM(O18:O26)</f>
        <v>19828.109999999997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17" t="s">
        <v>51</v>
      </c>
      <c r="B28" s="115"/>
      <c r="C28" s="118"/>
      <c r="D28" s="14" t="s">
        <v>52</v>
      </c>
      <c r="E28" s="114">
        <v>268.93</v>
      </c>
      <c r="F28" s="115"/>
      <c r="G28" s="116"/>
      <c r="H28" s="15" t="s">
        <v>23</v>
      </c>
      <c r="I28" s="1" t="s">
        <v>20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17" t="s">
        <v>53</v>
      </c>
      <c r="B29" s="115"/>
      <c r="C29" s="118"/>
      <c r="D29" s="14" t="s">
        <v>54</v>
      </c>
      <c r="E29" s="114">
        <v>10</v>
      </c>
      <c r="F29" s="115"/>
      <c r="G29" s="116"/>
      <c r="H29" s="15" t="s">
        <v>28</v>
      </c>
      <c r="I29" s="1" t="s">
        <v>55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2">
    <mergeCell ref="A2:K4"/>
    <mergeCell ref="B7:K7"/>
    <mergeCell ref="B8:K8"/>
    <mergeCell ref="B9:K9"/>
    <mergeCell ref="B10:D10"/>
    <mergeCell ref="J10:K10"/>
    <mergeCell ref="E12:H12"/>
    <mergeCell ref="E15:G15"/>
    <mergeCell ref="E16:G16"/>
    <mergeCell ref="A12:C12"/>
    <mergeCell ref="A13:C13"/>
    <mergeCell ref="E13:G13"/>
    <mergeCell ref="A14:C14"/>
    <mergeCell ref="E14:G14"/>
    <mergeCell ref="A15:C15"/>
    <mergeCell ref="A16:C16"/>
    <mergeCell ref="A17:C17"/>
    <mergeCell ref="E17:G17"/>
    <mergeCell ref="A18:C18"/>
    <mergeCell ref="E18:G18"/>
    <mergeCell ref="A19:C19"/>
    <mergeCell ref="E19:G19"/>
    <mergeCell ref="E28:G28"/>
    <mergeCell ref="E29:G29"/>
    <mergeCell ref="E21:G21"/>
    <mergeCell ref="E22:G22"/>
    <mergeCell ref="E23:G23"/>
    <mergeCell ref="A27:C27"/>
    <mergeCell ref="A28:C28"/>
    <mergeCell ref="A29:C29"/>
    <mergeCell ref="A20:C20"/>
    <mergeCell ref="A21:C21"/>
    <mergeCell ref="A22:C22"/>
    <mergeCell ref="A23:C23"/>
    <mergeCell ref="A24:C24"/>
    <mergeCell ref="A25:C25"/>
    <mergeCell ref="A26:C26"/>
    <mergeCell ref="E24:G24"/>
    <mergeCell ref="E25:G25"/>
    <mergeCell ref="E26:G26"/>
    <mergeCell ref="E27:G27"/>
    <mergeCell ref="E20:G20"/>
  </mergeCells>
  <pageMargins left="0.55118110236220474" right="0.27559055118110237" top="0.59055118110236227" bottom="0.59055118110236227" header="0" footer="0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1642"/>
  </sheetPr>
  <dimension ref="A1:Z1000"/>
  <sheetViews>
    <sheetView showGridLines="0" workbookViewId="0"/>
  </sheetViews>
  <sheetFormatPr defaultColWidth="14.44140625" defaultRowHeight="15" customHeight="1"/>
  <cols>
    <col min="1" max="1" width="17.44140625" customWidth="1"/>
    <col min="2" max="2" width="12.6640625" customWidth="1"/>
    <col min="3" max="3" width="8.88671875" customWidth="1"/>
    <col min="4" max="4" width="10.6640625" customWidth="1"/>
    <col min="5" max="5" width="13.33203125" customWidth="1"/>
    <col min="6" max="6" width="12.88671875" customWidth="1"/>
    <col min="7" max="7" width="11.44140625" customWidth="1"/>
    <col min="8" max="8" width="13.33203125" customWidth="1"/>
    <col min="9" max="9" width="11.109375" customWidth="1"/>
    <col min="10" max="10" width="9.109375" customWidth="1"/>
    <col min="11" max="11" width="14.5546875" customWidth="1"/>
    <col min="12" max="12" width="15.6640625" customWidth="1"/>
    <col min="13" max="26" width="9.109375" customWidth="1"/>
  </cols>
  <sheetData>
    <row r="1" spans="1:26" ht="12.75" customHeight="1">
      <c r="A1" s="1"/>
      <c r="B1" s="1"/>
      <c r="C1" s="1"/>
      <c r="D1" s="18"/>
      <c r="E1" s="1"/>
      <c r="F1" s="1"/>
      <c r="G1" s="1"/>
      <c r="H1" s="1"/>
      <c r="I1" s="1"/>
      <c r="J1" s="1"/>
      <c r="K1" s="1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56</v>
      </c>
      <c r="B2" s="128"/>
      <c r="C2" s="128"/>
      <c r="D2" s="128"/>
      <c r="E2" s="128"/>
      <c r="F2" s="128"/>
      <c r="G2" s="128"/>
      <c r="H2" s="128"/>
      <c r="I2" s="128"/>
      <c r="J2" s="1"/>
      <c r="K2" s="1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"/>
      <c r="K3" s="1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"/>
      <c r="K4" s="1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20"/>
      <c r="E5" s="4"/>
      <c r="F5" s="4"/>
      <c r="G5" s="4"/>
      <c r="H5" s="4"/>
      <c r="I5" s="4"/>
      <c r="J5" s="1"/>
      <c r="K5" s="1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18"/>
      <c r="E6" s="1"/>
      <c r="F6" s="1"/>
      <c r="G6" s="1"/>
      <c r="H6" s="1"/>
      <c r="I6" s="1"/>
      <c r="J6" s="1"/>
      <c r="K6" s="1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57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58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59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45170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60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8"/>
      <c r="E11" s="1"/>
      <c r="F11" s="1"/>
      <c r="G11" s="1"/>
      <c r="H11" s="1"/>
      <c r="I11" s="1"/>
      <c r="J11" s="1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21" t="s">
        <v>61</v>
      </c>
      <c r="B12" s="22"/>
      <c r="C12" s="22"/>
      <c r="D12" s="23"/>
      <c r="E12" s="22"/>
      <c r="F12" s="22"/>
      <c r="G12" s="22"/>
      <c r="H12" s="22"/>
      <c r="I12" s="24"/>
      <c r="J12" s="1"/>
      <c r="K12" s="1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25"/>
      <c r="B13" s="26"/>
      <c r="C13" s="26"/>
      <c r="D13" s="26"/>
      <c r="E13" s="26"/>
      <c r="F13" s="26"/>
      <c r="G13" s="1"/>
      <c r="H13" s="1"/>
      <c r="I13" s="27"/>
      <c r="J13" s="1"/>
      <c r="K13" s="1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44" t="s">
        <v>14</v>
      </c>
      <c r="B14" s="134"/>
      <c r="C14" s="135"/>
      <c r="D14" s="143" t="s">
        <v>62</v>
      </c>
      <c r="E14" s="134"/>
      <c r="F14" s="134"/>
      <c r="G14" s="134"/>
      <c r="H14" s="135"/>
      <c r="I14" s="27"/>
      <c r="J14" s="1"/>
      <c r="K14" s="1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48" t="str">
        <f>'Movimentação de Terra'!A19</f>
        <v>REBAIXAMENTO DE LENÇOL</v>
      </c>
      <c r="B15" s="137"/>
      <c r="C15" s="138"/>
      <c r="D15" s="136">
        <f>'Movimentação de Terra'!I23</f>
        <v>1500</v>
      </c>
      <c r="E15" s="137"/>
      <c r="F15" s="137"/>
      <c r="G15" s="137"/>
      <c r="H15" s="138"/>
      <c r="I15" s="28"/>
      <c r="J15" s="29"/>
      <c r="K15" s="30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.75" customHeight="1">
      <c r="A16" s="148" t="str">
        <f>'Movimentação de Terra'!A33</f>
        <v>ESCAVAÇÃO E REATERRO DE VALAS</v>
      </c>
      <c r="B16" s="137"/>
      <c r="C16" s="138"/>
      <c r="D16" s="136">
        <f>'Movimentação de Terra'!I39+'Movimentação de Terra'!I30</f>
        <v>456566.37924596161</v>
      </c>
      <c r="E16" s="137"/>
      <c r="F16" s="137"/>
      <c r="G16" s="137"/>
      <c r="H16" s="138"/>
      <c r="I16" s="31"/>
      <c r="J16" s="1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2.25" customHeight="1">
      <c r="A17" s="148" t="str">
        <f>'Movimentação de Terra'!A42</f>
        <v>REGULARIZAÇÃO E APILOAMENTO DE FUNDO DE VALAS</v>
      </c>
      <c r="B17" s="137"/>
      <c r="C17" s="138"/>
      <c r="D17" s="156">
        <f>'Movimentação de Terra'!I46</f>
        <v>35550</v>
      </c>
      <c r="E17" s="157"/>
      <c r="F17" s="157"/>
      <c r="G17" s="157"/>
      <c r="H17" s="158"/>
      <c r="I17" s="31"/>
      <c r="J17" s="1"/>
      <c r="K17" s="1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33" t="s">
        <v>63</v>
      </c>
      <c r="B18" s="134"/>
      <c r="C18" s="135"/>
      <c r="D18" s="139">
        <f>SUM(D15:H17)</f>
        <v>493616.37924596161</v>
      </c>
      <c r="E18" s="134"/>
      <c r="F18" s="134"/>
      <c r="G18" s="134"/>
      <c r="H18" s="135"/>
      <c r="I18" s="31"/>
      <c r="J18" s="1"/>
      <c r="K18" s="1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49"/>
      <c r="B19" s="134"/>
      <c r="C19" s="134"/>
      <c r="D19" s="134"/>
      <c r="E19" s="134"/>
      <c r="F19" s="134"/>
      <c r="G19" s="33"/>
      <c r="H19" s="33"/>
      <c r="I19" s="34"/>
      <c r="J19" s="1"/>
      <c r="K19" s="1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"/>
      <c r="C20" s="1"/>
      <c r="D20" s="35"/>
      <c r="E20" s="1"/>
      <c r="F20" s="1"/>
      <c r="G20" s="1"/>
      <c r="H20" s="1"/>
      <c r="I20" s="1"/>
      <c r="J20" s="1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/>
      <c r="C21" s="1"/>
      <c r="D21" s="18"/>
      <c r="E21" s="1"/>
      <c r="F21" s="1"/>
      <c r="G21" s="1"/>
      <c r="H21" s="1"/>
      <c r="I21" s="1"/>
      <c r="J21" s="1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21" t="s">
        <v>64</v>
      </c>
      <c r="B22" s="22"/>
      <c r="C22" s="22"/>
      <c r="D22" s="36"/>
      <c r="E22" s="22"/>
      <c r="F22" s="22"/>
      <c r="G22" s="22"/>
      <c r="H22" s="22"/>
      <c r="I22" s="24"/>
      <c r="J22" s="1"/>
      <c r="K22" s="1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37"/>
      <c r="B23" s="1"/>
      <c r="C23" s="1"/>
      <c r="D23" s="35"/>
      <c r="E23" s="1"/>
      <c r="F23" s="1"/>
      <c r="G23" s="1"/>
      <c r="H23" s="1"/>
      <c r="I23" s="27"/>
      <c r="J23" s="1"/>
      <c r="K23" s="1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44" t="s">
        <v>14</v>
      </c>
      <c r="B24" s="134"/>
      <c r="C24" s="145"/>
      <c r="D24" s="143" t="s">
        <v>62</v>
      </c>
      <c r="E24" s="134"/>
      <c r="F24" s="134"/>
      <c r="G24" s="134"/>
      <c r="H24" s="135"/>
      <c r="I24" s="27"/>
      <c r="J24" s="1"/>
      <c r="K24" s="1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54" t="e">
        <f>Infraestrutura!#REF!</f>
        <v>#REF!</v>
      </c>
      <c r="B25" s="151"/>
      <c r="C25" s="152"/>
      <c r="D25" s="153" t="e">
        <f>Infraestrutura!#REF!</f>
        <v>#REF!</v>
      </c>
      <c r="E25" s="151"/>
      <c r="F25" s="151"/>
      <c r="G25" s="151"/>
      <c r="H25" s="152"/>
      <c r="I25" s="27"/>
      <c r="J25" s="1"/>
      <c r="K25" s="1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55" t="str">
        <f>Infraestrutura!A24</f>
        <v>FUNDAÇÃO RASA</v>
      </c>
      <c r="B26" s="137"/>
      <c r="C26" s="138"/>
      <c r="D26" s="136">
        <f>Infraestrutura!I31</f>
        <v>4309171.5600000005</v>
      </c>
      <c r="E26" s="137"/>
      <c r="F26" s="137"/>
      <c r="G26" s="137"/>
      <c r="H26" s="138"/>
      <c r="I26" s="27"/>
      <c r="J26" s="1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33" t="s">
        <v>63</v>
      </c>
      <c r="B27" s="134"/>
      <c r="C27" s="135"/>
      <c r="D27" s="139" t="e">
        <f>SUM(D25:H26)</f>
        <v>#REF!</v>
      </c>
      <c r="E27" s="134"/>
      <c r="F27" s="134"/>
      <c r="G27" s="134"/>
      <c r="H27" s="135"/>
      <c r="I27" s="27"/>
      <c r="J27" s="1"/>
      <c r="K27" s="1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40"/>
      <c r="B28" s="33"/>
      <c r="C28" s="33"/>
      <c r="D28" s="41"/>
      <c r="E28" s="33"/>
      <c r="F28" s="33"/>
      <c r="G28" s="33"/>
      <c r="H28" s="33"/>
      <c r="I28" s="34"/>
      <c r="J28" s="1"/>
      <c r="K28" s="1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8"/>
      <c r="E29" s="1"/>
      <c r="F29" s="1"/>
      <c r="G29" s="1"/>
      <c r="H29" s="1"/>
      <c r="I29" s="1"/>
      <c r="J29" s="1"/>
      <c r="K29" s="1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21" t="s">
        <v>65</v>
      </c>
      <c r="B30" s="22"/>
      <c r="C30" s="22"/>
      <c r="D30" s="36"/>
      <c r="E30" s="22"/>
      <c r="F30" s="22"/>
      <c r="G30" s="22"/>
      <c r="H30" s="22"/>
      <c r="I30" s="24"/>
      <c r="J30" s="1"/>
      <c r="K30" s="1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37"/>
      <c r="B31" s="1"/>
      <c r="C31" s="1"/>
      <c r="D31" s="35"/>
      <c r="E31" s="1"/>
      <c r="F31" s="1"/>
      <c r="G31" s="1"/>
      <c r="H31" s="1"/>
      <c r="I31" s="27"/>
      <c r="J31" s="1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44" t="s">
        <v>14</v>
      </c>
      <c r="B32" s="134"/>
      <c r="C32" s="145"/>
      <c r="D32" s="143" t="s">
        <v>62</v>
      </c>
      <c r="E32" s="134"/>
      <c r="F32" s="134"/>
      <c r="G32" s="134"/>
      <c r="H32" s="135"/>
      <c r="I32" s="27"/>
      <c r="J32" s="1"/>
      <c r="K32" s="1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48" t="str">
        <f>+Supraestrutura!A12</f>
        <v>SUPRAESTRUTURA</v>
      </c>
      <c r="B33" s="137"/>
      <c r="C33" s="138"/>
      <c r="D33" s="153">
        <f>+Supraestrutura!I22</f>
        <v>35464738.262500003</v>
      </c>
      <c r="E33" s="151"/>
      <c r="F33" s="151"/>
      <c r="G33" s="151"/>
      <c r="H33" s="152"/>
      <c r="I33" s="27"/>
      <c r="J33" s="1"/>
      <c r="K33" s="1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33" t="s">
        <v>63</v>
      </c>
      <c r="B34" s="134"/>
      <c r="C34" s="135"/>
      <c r="D34" s="139">
        <f>SUM(D33:H33)</f>
        <v>35464738.262500003</v>
      </c>
      <c r="E34" s="134"/>
      <c r="F34" s="134"/>
      <c r="G34" s="134"/>
      <c r="H34" s="135"/>
      <c r="I34" s="27"/>
      <c r="J34" s="1"/>
      <c r="K34" s="1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40"/>
      <c r="B35" s="33"/>
      <c r="C35" s="33"/>
      <c r="D35" s="41"/>
      <c r="E35" s="33"/>
      <c r="F35" s="33"/>
      <c r="G35" s="33"/>
      <c r="H35" s="33"/>
      <c r="I35" s="34"/>
      <c r="J35" s="1"/>
      <c r="K35" s="1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8"/>
      <c r="E36" s="1"/>
      <c r="F36" s="1"/>
      <c r="G36" s="1"/>
      <c r="H36" s="1"/>
      <c r="I36" s="1"/>
      <c r="J36" s="1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21" t="s">
        <v>66</v>
      </c>
      <c r="B37" s="22"/>
      <c r="C37" s="22"/>
      <c r="D37" s="36"/>
      <c r="E37" s="22"/>
      <c r="F37" s="22"/>
      <c r="G37" s="22"/>
      <c r="H37" s="22"/>
      <c r="I37" s="24"/>
      <c r="J37" s="1"/>
      <c r="K37" s="1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37"/>
      <c r="B38" s="1"/>
      <c r="C38" s="1"/>
      <c r="D38" s="35"/>
      <c r="E38" s="1"/>
      <c r="F38" s="1"/>
      <c r="G38" s="1"/>
      <c r="H38" s="1"/>
      <c r="I38" s="27"/>
      <c r="J38" s="1"/>
      <c r="K38" s="1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44" t="s">
        <v>14</v>
      </c>
      <c r="B39" s="134"/>
      <c r="C39" s="145"/>
      <c r="D39" s="143" t="s">
        <v>62</v>
      </c>
      <c r="E39" s="134"/>
      <c r="F39" s="134"/>
      <c r="G39" s="134"/>
      <c r="H39" s="135"/>
      <c r="I39" s="27"/>
      <c r="J39" s="1"/>
      <c r="K39" s="1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47" t="str">
        <f>+Alvenaria!A12</f>
        <v>ALVENARIA</v>
      </c>
      <c r="B40" s="134"/>
      <c r="C40" s="135"/>
      <c r="D40" s="136">
        <f>+Alvenaria!I21</f>
        <v>6057180.0899999989</v>
      </c>
      <c r="E40" s="137"/>
      <c r="F40" s="137"/>
      <c r="G40" s="137"/>
      <c r="H40" s="138"/>
      <c r="I40" s="27"/>
      <c r="J40" s="1"/>
      <c r="K40" s="1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33" t="s">
        <v>63</v>
      </c>
      <c r="B41" s="134"/>
      <c r="C41" s="135"/>
      <c r="D41" s="139">
        <f>SUM(D40)</f>
        <v>6057180.0899999989</v>
      </c>
      <c r="E41" s="134"/>
      <c r="F41" s="134"/>
      <c r="G41" s="134"/>
      <c r="H41" s="135"/>
      <c r="I41" s="27"/>
      <c r="J41" s="1"/>
      <c r="K41" s="1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40"/>
      <c r="B42" s="33"/>
      <c r="C42" s="33"/>
      <c r="D42" s="42"/>
      <c r="E42" s="43"/>
      <c r="F42" s="43"/>
      <c r="G42" s="44"/>
      <c r="H42" s="33"/>
      <c r="I42" s="34"/>
      <c r="J42" s="1"/>
      <c r="K42" s="1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8"/>
      <c r="E43" s="1"/>
      <c r="F43" s="1"/>
      <c r="G43" s="1"/>
      <c r="H43" s="1"/>
      <c r="I43" s="1"/>
      <c r="J43" s="1"/>
      <c r="K43" s="1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1" t="s">
        <v>67</v>
      </c>
      <c r="B44" s="22"/>
      <c r="C44" s="22"/>
      <c r="D44" s="23"/>
      <c r="E44" s="22"/>
      <c r="F44" s="22"/>
      <c r="G44" s="22"/>
      <c r="H44" s="22"/>
      <c r="I44" s="24"/>
      <c r="J44" s="1"/>
      <c r="K44" s="1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5"/>
      <c r="B45" s="26"/>
      <c r="C45" s="26"/>
      <c r="D45" s="26"/>
      <c r="E45" s="26"/>
      <c r="F45" s="26"/>
      <c r="G45" s="1"/>
      <c r="H45" s="1"/>
      <c r="I45" s="27"/>
      <c r="J45" s="1"/>
      <c r="K45" s="1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44" t="s">
        <v>14</v>
      </c>
      <c r="B46" s="134"/>
      <c r="C46" s="135"/>
      <c r="D46" s="143" t="s">
        <v>62</v>
      </c>
      <c r="E46" s="134"/>
      <c r="F46" s="134"/>
      <c r="G46" s="134"/>
      <c r="H46" s="135"/>
      <c r="I46" s="27"/>
      <c r="J46" s="1"/>
      <c r="K46" s="1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50" t="str">
        <f>+Instalações!A12</f>
        <v>INSTALAÇÕES ELÉTRICAS</v>
      </c>
      <c r="B47" s="151"/>
      <c r="C47" s="152"/>
      <c r="D47" s="153">
        <f>+Instalações!I22</f>
        <v>9190307</v>
      </c>
      <c r="E47" s="151"/>
      <c r="F47" s="151"/>
      <c r="G47" s="151"/>
      <c r="H47" s="152"/>
      <c r="I47" s="45"/>
      <c r="J47" s="1"/>
      <c r="K47" s="1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48" t="str">
        <f>+Instalações!A24</f>
        <v>INSTALAÇÕES HIDRÁULICAS</v>
      </c>
      <c r="B48" s="137"/>
      <c r="C48" s="138"/>
      <c r="D48" s="136">
        <f>+Instalações!I35</f>
        <v>8822694.7200000007</v>
      </c>
      <c r="E48" s="137"/>
      <c r="F48" s="137"/>
      <c r="G48" s="137"/>
      <c r="H48" s="138"/>
      <c r="I48" s="28"/>
      <c r="J48" s="1"/>
      <c r="K48" s="1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48" t="str">
        <f>+Instalações!A38</f>
        <v>INSTALAÇÕES PREVENTIVAS E GLP</v>
      </c>
      <c r="B49" s="137"/>
      <c r="C49" s="138"/>
      <c r="D49" s="136">
        <f>+Instalações!I44</f>
        <v>4463863.4000000004</v>
      </c>
      <c r="E49" s="137"/>
      <c r="F49" s="137"/>
      <c r="G49" s="137"/>
      <c r="H49" s="138"/>
      <c r="I49" s="31"/>
      <c r="J49" s="1"/>
      <c r="K49" s="1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33" t="s">
        <v>63</v>
      </c>
      <c r="B50" s="134"/>
      <c r="C50" s="135"/>
      <c r="D50" s="139">
        <f>SUM(D47:H49)</f>
        <v>22476865.119999997</v>
      </c>
      <c r="E50" s="134"/>
      <c r="F50" s="134"/>
      <c r="G50" s="134"/>
      <c r="H50" s="135"/>
      <c r="I50" s="31"/>
      <c r="J50" s="1"/>
      <c r="K50" s="1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49"/>
      <c r="B51" s="134"/>
      <c r="C51" s="134"/>
      <c r="D51" s="134"/>
      <c r="E51" s="134"/>
      <c r="F51" s="134"/>
      <c r="G51" s="33"/>
      <c r="H51" s="33"/>
      <c r="I51" s="34"/>
      <c r="J51" s="1"/>
      <c r="K51" s="1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46"/>
      <c r="B52" s="23"/>
      <c r="C52" s="23"/>
      <c r="D52" s="23"/>
      <c r="E52" s="23"/>
      <c r="F52" s="23"/>
      <c r="G52" s="1"/>
      <c r="H52" s="1"/>
      <c r="I52" s="27"/>
      <c r="J52" s="1"/>
      <c r="K52" s="1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1" t="s">
        <v>68</v>
      </c>
      <c r="B53" s="22"/>
      <c r="C53" s="22"/>
      <c r="D53" s="23"/>
      <c r="E53" s="22"/>
      <c r="F53" s="22"/>
      <c r="G53" s="22"/>
      <c r="H53" s="22"/>
      <c r="I53" s="24"/>
      <c r="J53" s="1"/>
      <c r="K53" s="1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5"/>
      <c r="B54" s="26"/>
      <c r="C54" s="26"/>
      <c r="D54" s="26"/>
      <c r="E54" s="26"/>
      <c r="F54" s="26"/>
      <c r="G54" s="1"/>
      <c r="H54" s="1"/>
      <c r="I54" s="27"/>
      <c r="J54" s="1"/>
      <c r="K54" s="1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44" t="s">
        <v>14</v>
      </c>
      <c r="B55" s="134"/>
      <c r="C55" s="135"/>
      <c r="D55" s="143" t="s">
        <v>62</v>
      </c>
      <c r="E55" s="134"/>
      <c r="F55" s="134"/>
      <c r="G55" s="134"/>
      <c r="H55" s="135"/>
      <c r="I55" s="27"/>
      <c r="J55" s="1"/>
      <c r="K55" s="1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75" customHeight="1">
      <c r="A56" s="150" t="str">
        <f>'Sistemas especiais'!A12</f>
        <v>CLIMATIZAÇÃO, EXAUSTÃO MECÂNICA E PRESSURIZAÇÃO</v>
      </c>
      <c r="B56" s="151"/>
      <c r="C56" s="152"/>
      <c r="D56" s="153">
        <f>'Sistemas especiais'!I20</f>
        <v>4101000</v>
      </c>
      <c r="E56" s="151"/>
      <c r="F56" s="151"/>
      <c r="G56" s="151"/>
      <c r="H56" s="152"/>
      <c r="I56" s="45"/>
      <c r="J56" s="1"/>
      <c r="K56" s="1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48" t="str">
        <f>'Sistemas especiais'!A32</f>
        <v>AUTOMAÇÃO</v>
      </c>
      <c r="B57" s="137"/>
      <c r="C57" s="138"/>
      <c r="D57" s="136">
        <f>'Sistemas especiais'!I36</f>
        <v>787740.6</v>
      </c>
      <c r="E57" s="137"/>
      <c r="F57" s="137"/>
      <c r="G57" s="137"/>
      <c r="H57" s="138"/>
      <c r="I57" s="28"/>
      <c r="J57" s="1"/>
      <c r="K57" s="1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48" t="s">
        <v>69</v>
      </c>
      <c r="B58" s="137"/>
      <c r="C58" s="138"/>
      <c r="D58" s="136">
        <f>'Sistemas especiais'!I29</f>
        <v>1312901</v>
      </c>
      <c r="E58" s="137"/>
      <c r="F58" s="137"/>
      <c r="G58" s="137"/>
      <c r="H58" s="138"/>
      <c r="I58" s="28"/>
      <c r="J58" s="1"/>
      <c r="K58" s="1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48" t="str">
        <f>'Sistemas especiais'!A39</f>
        <v>OUTROS SISTEMAS ESPECIAIS</v>
      </c>
      <c r="B59" s="137"/>
      <c r="C59" s="138"/>
      <c r="D59" s="136">
        <f>'Sistemas especiais'!I43</f>
        <v>1050320.8</v>
      </c>
      <c r="E59" s="137"/>
      <c r="F59" s="137"/>
      <c r="G59" s="137"/>
      <c r="H59" s="138"/>
      <c r="I59" s="28"/>
      <c r="J59" s="1"/>
      <c r="K59" s="1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48" t="str">
        <f>'Sistemas especiais'!A46</f>
        <v>EQUIPAMENTOS</v>
      </c>
      <c r="B60" s="137"/>
      <c r="C60" s="138"/>
      <c r="D60" s="136">
        <f>'Sistemas especiais'!I52</f>
        <v>10777568.32</v>
      </c>
      <c r="E60" s="137"/>
      <c r="F60" s="137"/>
      <c r="G60" s="137"/>
      <c r="H60" s="138"/>
      <c r="I60" s="31"/>
      <c r="J60" s="1"/>
      <c r="K60" s="1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33" t="s">
        <v>63</v>
      </c>
      <c r="B61" s="134"/>
      <c r="C61" s="135"/>
      <c r="D61" s="139">
        <f>SUM(D56:H60)</f>
        <v>18029530.719999999</v>
      </c>
      <c r="E61" s="134"/>
      <c r="F61" s="134"/>
      <c r="G61" s="134"/>
      <c r="H61" s="135"/>
      <c r="I61" s="31"/>
      <c r="J61" s="1"/>
      <c r="K61" s="1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49"/>
      <c r="B62" s="134"/>
      <c r="C62" s="134"/>
      <c r="D62" s="134"/>
      <c r="E62" s="134"/>
      <c r="F62" s="134"/>
      <c r="G62" s="33"/>
      <c r="H62" s="33"/>
      <c r="I62" s="34"/>
      <c r="J62" s="1"/>
      <c r="K62" s="1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8"/>
      <c r="E63" s="1"/>
      <c r="F63" s="1"/>
      <c r="G63" s="1"/>
      <c r="H63" s="1"/>
      <c r="I63" s="1"/>
      <c r="J63" s="1"/>
      <c r="K63" s="1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1" t="s">
        <v>70</v>
      </c>
      <c r="B64" s="22"/>
      <c r="C64" s="22"/>
      <c r="D64" s="36"/>
      <c r="E64" s="22"/>
      <c r="F64" s="22"/>
      <c r="G64" s="22"/>
      <c r="H64" s="22"/>
      <c r="I64" s="24"/>
      <c r="J64" s="1"/>
      <c r="K64" s="1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37"/>
      <c r="B65" s="1"/>
      <c r="C65" s="1"/>
      <c r="D65" s="35"/>
      <c r="E65" s="1"/>
      <c r="F65" s="1"/>
      <c r="G65" s="1"/>
      <c r="H65" s="1"/>
      <c r="I65" s="27"/>
      <c r="J65" s="1"/>
      <c r="K65" s="1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44" t="s">
        <v>14</v>
      </c>
      <c r="B66" s="134"/>
      <c r="C66" s="145"/>
      <c r="D66" s="143" t="s">
        <v>62</v>
      </c>
      <c r="E66" s="134"/>
      <c r="F66" s="134"/>
      <c r="G66" s="134"/>
      <c r="H66" s="135"/>
      <c r="I66" s="27"/>
      <c r="J66" s="1"/>
      <c r="K66" s="1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47" t="str">
        <f>+Impermeabilização!A12</f>
        <v>IMPERMEABILIZAÇÃO</v>
      </c>
      <c r="B67" s="134"/>
      <c r="C67" s="135"/>
      <c r="D67" s="136">
        <f>+Impermeabilização!I23</f>
        <v>1182990.9990000001</v>
      </c>
      <c r="E67" s="137"/>
      <c r="F67" s="137"/>
      <c r="G67" s="137"/>
      <c r="H67" s="138"/>
      <c r="I67" s="27"/>
      <c r="J67" s="1"/>
      <c r="K67" s="1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33" t="s">
        <v>63</v>
      </c>
      <c r="B68" s="134"/>
      <c r="C68" s="135"/>
      <c r="D68" s="139">
        <f>SUM(D67)</f>
        <v>1182990.9990000001</v>
      </c>
      <c r="E68" s="134"/>
      <c r="F68" s="134"/>
      <c r="G68" s="134"/>
      <c r="H68" s="135"/>
      <c r="I68" s="27"/>
      <c r="J68" s="1"/>
      <c r="K68" s="1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40"/>
      <c r="B69" s="33"/>
      <c r="C69" s="33"/>
      <c r="D69" s="42"/>
      <c r="E69" s="43"/>
      <c r="F69" s="43"/>
      <c r="G69" s="44"/>
      <c r="H69" s="33"/>
      <c r="I69" s="34"/>
      <c r="J69" s="1"/>
      <c r="K69" s="1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8"/>
      <c r="E70" s="1"/>
      <c r="F70" s="1"/>
      <c r="G70" s="1"/>
      <c r="H70" s="1"/>
      <c r="I70" s="1"/>
      <c r="J70" s="1"/>
      <c r="K70" s="1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21" t="s">
        <v>71</v>
      </c>
      <c r="B71" s="22"/>
      <c r="C71" s="22"/>
      <c r="D71" s="36"/>
      <c r="E71" s="22"/>
      <c r="F71" s="22"/>
      <c r="G71" s="22"/>
      <c r="H71" s="22"/>
      <c r="I71" s="24"/>
      <c r="J71" s="1"/>
      <c r="K71" s="1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37"/>
      <c r="B72" s="1"/>
      <c r="C72" s="1"/>
      <c r="D72" s="35"/>
      <c r="E72" s="1"/>
      <c r="F72" s="1"/>
      <c r="G72" s="1"/>
      <c r="H72" s="1"/>
      <c r="I72" s="27"/>
      <c r="J72" s="1"/>
      <c r="K72" s="1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44" t="s">
        <v>14</v>
      </c>
      <c r="B73" s="134"/>
      <c r="C73" s="145"/>
      <c r="D73" s="143" t="s">
        <v>62</v>
      </c>
      <c r="E73" s="134"/>
      <c r="F73" s="134"/>
      <c r="G73" s="134"/>
      <c r="H73" s="135"/>
      <c r="I73" s="27"/>
      <c r="J73" s="1"/>
      <c r="K73" s="1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2.25" customHeight="1">
      <c r="A74" s="147" t="str">
        <f>+'Rev. Internos Piso e Parede'!A12</f>
        <v>REVESTIMENTOS INTERNOS EM PISO E PAREDE</v>
      </c>
      <c r="B74" s="134"/>
      <c r="C74" s="135"/>
      <c r="D74" s="136">
        <f>+'Rev. Internos Piso e Parede'!I21</f>
        <v>7269591.0950000007</v>
      </c>
      <c r="E74" s="137"/>
      <c r="F74" s="137"/>
      <c r="G74" s="137"/>
      <c r="H74" s="138"/>
      <c r="I74" s="27"/>
      <c r="J74" s="1"/>
      <c r="K74" s="1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33" t="s">
        <v>63</v>
      </c>
      <c r="B75" s="134"/>
      <c r="C75" s="135"/>
      <c r="D75" s="139">
        <f>SUM(D74)</f>
        <v>7269591.0950000007</v>
      </c>
      <c r="E75" s="134"/>
      <c r="F75" s="134"/>
      <c r="G75" s="134"/>
      <c r="H75" s="135"/>
      <c r="I75" s="27"/>
      <c r="J75" s="1"/>
      <c r="K75" s="1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40"/>
      <c r="B76" s="33"/>
      <c r="C76" s="33"/>
      <c r="D76" s="42"/>
      <c r="E76" s="43"/>
      <c r="F76" s="43"/>
      <c r="G76" s="44"/>
      <c r="H76" s="33"/>
      <c r="I76" s="34"/>
      <c r="J76" s="1"/>
      <c r="K76" s="1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8"/>
      <c r="E77" s="1"/>
      <c r="F77" s="1"/>
      <c r="G77" s="1"/>
      <c r="H77" s="1"/>
      <c r="I77" s="1"/>
      <c r="J77" s="1"/>
      <c r="K77" s="1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21" t="s">
        <v>72</v>
      </c>
      <c r="B78" s="22"/>
      <c r="C78" s="22"/>
      <c r="D78" s="36"/>
      <c r="E78" s="22"/>
      <c r="F78" s="22"/>
      <c r="G78" s="22"/>
      <c r="H78" s="22"/>
      <c r="I78" s="24"/>
      <c r="J78" s="1"/>
      <c r="K78" s="1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37"/>
      <c r="B79" s="1"/>
      <c r="C79" s="1"/>
      <c r="D79" s="35"/>
      <c r="E79" s="1"/>
      <c r="F79" s="1"/>
      <c r="G79" s="1"/>
      <c r="H79" s="1"/>
      <c r="I79" s="27"/>
      <c r="J79" s="1"/>
      <c r="K79" s="1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44" t="s">
        <v>14</v>
      </c>
      <c r="B80" s="134"/>
      <c r="C80" s="145"/>
      <c r="D80" s="143" t="s">
        <v>62</v>
      </c>
      <c r="E80" s="134"/>
      <c r="F80" s="134"/>
      <c r="G80" s="134"/>
      <c r="H80" s="135"/>
      <c r="I80" s="27"/>
      <c r="J80" s="1"/>
      <c r="K80" s="1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47" t="str">
        <f>+'Acabamentos de Teto'!A12</f>
        <v>ACABAMENTOS DE TETO</v>
      </c>
      <c r="B81" s="134"/>
      <c r="C81" s="135"/>
      <c r="D81" s="136">
        <f>+'Acabamentos de Teto'!I18</f>
        <v>1768251.2</v>
      </c>
      <c r="E81" s="137"/>
      <c r="F81" s="137"/>
      <c r="G81" s="137"/>
      <c r="H81" s="138"/>
      <c r="I81" s="27"/>
      <c r="J81" s="1"/>
      <c r="K81" s="1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33" t="s">
        <v>63</v>
      </c>
      <c r="B82" s="134"/>
      <c r="C82" s="135"/>
      <c r="D82" s="139">
        <f>SUM(D81)</f>
        <v>1768251.2</v>
      </c>
      <c r="E82" s="134"/>
      <c r="F82" s="134"/>
      <c r="G82" s="134"/>
      <c r="H82" s="135"/>
      <c r="I82" s="27"/>
      <c r="J82" s="1"/>
      <c r="K82" s="1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40"/>
      <c r="B83" s="33"/>
      <c r="C83" s="33"/>
      <c r="D83" s="42"/>
      <c r="E83" s="43"/>
      <c r="F83" s="43"/>
      <c r="G83" s="44"/>
      <c r="H83" s="33"/>
      <c r="I83" s="34"/>
      <c r="J83" s="1"/>
      <c r="K83" s="1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8"/>
      <c r="E84" s="1"/>
      <c r="F84" s="1"/>
      <c r="G84" s="1"/>
      <c r="H84" s="1"/>
      <c r="I84" s="1"/>
      <c r="J84" s="1"/>
      <c r="K84" s="1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21" t="s">
        <v>73</v>
      </c>
      <c r="B85" s="22"/>
      <c r="C85" s="22"/>
      <c r="D85" s="36"/>
      <c r="E85" s="22"/>
      <c r="F85" s="22"/>
      <c r="G85" s="22"/>
      <c r="H85" s="22"/>
      <c r="I85" s="24"/>
      <c r="J85" s="1"/>
      <c r="K85" s="1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37"/>
      <c r="B86" s="1"/>
      <c r="C86" s="1"/>
      <c r="D86" s="35"/>
      <c r="E86" s="1"/>
      <c r="F86" s="1"/>
      <c r="G86" s="1"/>
      <c r="H86" s="1"/>
      <c r="I86" s="27"/>
      <c r="J86" s="1"/>
      <c r="K86" s="1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44" t="s">
        <v>14</v>
      </c>
      <c r="B87" s="134"/>
      <c r="C87" s="145"/>
      <c r="D87" s="143" t="s">
        <v>62</v>
      </c>
      <c r="E87" s="134"/>
      <c r="F87" s="134"/>
      <c r="G87" s="134"/>
      <c r="H87" s="135"/>
      <c r="I87" s="27"/>
      <c r="J87" s="1"/>
      <c r="K87" s="1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47" t="str">
        <f>+'Acabamentos de Piso e Parede'!A12</f>
        <v>ACABAMENTOS EM PISO E PAREDE</v>
      </c>
      <c r="B88" s="134"/>
      <c r="C88" s="135"/>
      <c r="D88" s="136">
        <f>+'Acabamentos de Piso e Parede'!I27</f>
        <v>8418494.2239999995</v>
      </c>
      <c r="E88" s="137"/>
      <c r="F88" s="137"/>
      <c r="G88" s="137"/>
      <c r="H88" s="138"/>
      <c r="I88" s="27"/>
      <c r="J88" s="1"/>
      <c r="K88" s="1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33" t="s">
        <v>63</v>
      </c>
      <c r="B89" s="134"/>
      <c r="C89" s="135"/>
      <c r="D89" s="139">
        <f>SUM(D88)</f>
        <v>8418494.2239999995</v>
      </c>
      <c r="E89" s="134"/>
      <c r="F89" s="134"/>
      <c r="G89" s="134"/>
      <c r="H89" s="135"/>
      <c r="I89" s="27"/>
      <c r="J89" s="1"/>
      <c r="K89" s="1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40"/>
      <c r="B90" s="33"/>
      <c r="C90" s="33"/>
      <c r="D90" s="42"/>
      <c r="E90" s="43"/>
      <c r="F90" s="43"/>
      <c r="G90" s="44"/>
      <c r="H90" s="33"/>
      <c r="I90" s="34"/>
      <c r="J90" s="1"/>
      <c r="K90" s="1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8"/>
      <c r="E91" s="1"/>
      <c r="F91" s="1"/>
      <c r="G91" s="1"/>
      <c r="H91" s="1"/>
      <c r="I91" s="1"/>
      <c r="J91" s="1"/>
      <c r="K91" s="1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21" t="s">
        <v>74</v>
      </c>
      <c r="B92" s="22"/>
      <c r="C92" s="22"/>
      <c r="D92" s="36"/>
      <c r="E92" s="22"/>
      <c r="F92" s="22"/>
      <c r="G92" s="22"/>
      <c r="H92" s="22"/>
      <c r="I92" s="24"/>
      <c r="J92" s="1"/>
      <c r="K92" s="1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37"/>
      <c r="B93" s="1"/>
      <c r="C93" s="1"/>
      <c r="D93" s="35"/>
      <c r="E93" s="1"/>
      <c r="F93" s="1"/>
      <c r="G93" s="1"/>
      <c r="H93" s="1"/>
      <c r="I93" s="27"/>
      <c r="J93" s="1"/>
      <c r="K93" s="1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44" t="s">
        <v>14</v>
      </c>
      <c r="B94" s="134"/>
      <c r="C94" s="145"/>
      <c r="D94" s="143" t="s">
        <v>62</v>
      </c>
      <c r="E94" s="134"/>
      <c r="F94" s="134"/>
      <c r="G94" s="134"/>
      <c r="H94" s="135"/>
      <c r="I94" s="27"/>
      <c r="J94" s="1"/>
      <c r="K94" s="1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47" t="str">
        <f>+'Pintura Interna'!A12</f>
        <v>PINTURA INTERNA</v>
      </c>
      <c r="B95" s="134"/>
      <c r="C95" s="135"/>
      <c r="D95" s="136">
        <f>+'Pintura Interna'!I18</f>
        <v>3901853.7</v>
      </c>
      <c r="E95" s="137"/>
      <c r="F95" s="137"/>
      <c r="G95" s="137"/>
      <c r="H95" s="138"/>
      <c r="I95" s="27"/>
      <c r="J95" s="1"/>
      <c r="K95" s="1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33" t="s">
        <v>63</v>
      </c>
      <c r="B96" s="134"/>
      <c r="C96" s="135"/>
      <c r="D96" s="139">
        <f>SUM(D95)</f>
        <v>3901853.7</v>
      </c>
      <c r="E96" s="134"/>
      <c r="F96" s="134"/>
      <c r="G96" s="134"/>
      <c r="H96" s="135"/>
      <c r="I96" s="27"/>
      <c r="J96" s="1"/>
      <c r="K96" s="1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40"/>
      <c r="B97" s="33"/>
      <c r="C97" s="33"/>
      <c r="D97" s="42"/>
      <c r="E97" s="43"/>
      <c r="F97" s="43"/>
      <c r="G97" s="44"/>
      <c r="H97" s="33"/>
      <c r="I97" s="34"/>
      <c r="J97" s="1"/>
      <c r="K97" s="1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8"/>
      <c r="E98" s="1"/>
      <c r="F98" s="1"/>
      <c r="G98" s="1"/>
      <c r="H98" s="1"/>
      <c r="I98" s="1"/>
      <c r="J98" s="1"/>
      <c r="K98" s="1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21" t="s">
        <v>75</v>
      </c>
      <c r="B99" s="22"/>
      <c r="C99" s="22"/>
      <c r="D99" s="36"/>
      <c r="E99" s="22"/>
      <c r="F99" s="22"/>
      <c r="G99" s="22"/>
      <c r="H99" s="22"/>
      <c r="I99" s="24"/>
      <c r="J99" s="1"/>
      <c r="K99" s="1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37"/>
      <c r="B100" s="1"/>
      <c r="C100" s="1"/>
      <c r="D100" s="35"/>
      <c r="E100" s="1"/>
      <c r="F100" s="1"/>
      <c r="G100" s="1"/>
      <c r="H100" s="1"/>
      <c r="I100" s="27"/>
      <c r="J100" s="1"/>
      <c r="K100" s="1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44" t="s">
        <v>14</v>
      </c>
      <c r="B101" s="134"/>
      <c r="C101" s="145"/>
      <c r="D101" s="143" t="s">
        <v>62</v>
      </c>
      <c r="E101" s="134"/>
      <c r="F101" s="134"/>
      <c r="G101" s="134"/>
      <c r="H101" s="135"/>
      <c r="I101" s="27"/>
      <c r="J101" s="1"/>
      <c r="K101" s="1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47" t="str">
        <f>+Esquadrias!A12</f>
        <v>ESQUADRIAS</v>
      </c>
      <c r="B102" s="134"/>
      <c r="C102" s="135"/>
      <c r="D102" s="136">
        <f>+Esquadrias!I23</f>
        <v>12489032.006999999</v>
      </c>
      <c r="E102" s="137"/>
      <c r="F102" s="137"/>
      <c r="G102" s="137"/>
      <c r="H102" s="138"/>
      <c r="I102" s="27"/>
      <c r="J102" s="1"/>
      <c r="K102" s="1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33" t="s">
        <v>63</v>
      </c>
      <c r="B103" s="134"/>
      <c r="C103" s="135"/>
      <c r="D103" s="139">
        <f>SUM(D102)</f>
        <v>12489032.006999999</v>
      </c>
      <c r="E103" s="134"/>
      <c r="F103" s="134"/>
      <c r="G103" s="134"/>
      <c r="H103" s="135"/>
      <c r="I103" s="27"/>
      <c r="J103" s="1"/>
      <c r="K103" s="1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40"/>
      <c r="B104" s="33"/>
      <c r="C104" s="33"/>
      <c r="D104" s="42"/>
      <c r="E104" s="43"/>
      <c r="F104" s="43"/>
      <c r="G104" s="44"/>
      <c r="H104" s="33"/>
      <c r="I104" s="34"/>
      <c r="J104" s="1"/>
      <c r="K104" s="1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8"/>
      <c r="E105" s="1"/>
      <c r="F105" s="1"/>
      <c r="G105" s="1"/>
      <c r="H105" s="1"/>
      <c r="I105" s="1"/>
      <c r="J105" s="1"/>
      <c r="K105" s="1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21" t="s">
        <v>76</v>
      </c>
      <c r="B106" s="22"/>
      <c r="C106" s="22"/>
      <c r="D106" s="36"/>
      <c r="E106" s="22"/>
      <c r="F106" s="22"/>
      <c r="G106" s="22"/>
      <c r="H106" s="22"/>
      <c r="I106" s="24"/>
      <c r="J106" s="1"/>
      <c r="K106" s="1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37"/>
      <c r="B107" s="1"/>
      <c r="C107" s="1"/>
      <c r="D107" s="35"/>
      <c r="E107" s="1"/>
      <c r="F107" s="1"/>
      <c r="G107" s="1"/>
      <c r="H107" s="1"/>
      <c r="I107" s="27"/>
      <c r="J107" s="1"/>
      <c r="K107" s="1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44" t="s">
        <v>14</v>
      </c>
      <c r="B108" s="134"/>
      <c r="C108" s="145"/>
      <c r="D108" s="143" t="s">
        <v>62</v>
      </c>
      <c r="E108" s="134"/>
      <c r="F108" s="134"/>
      <c r="G108" s="134"/>
      <c r="H108" s="135"/>
      <c r="I108" s="27"/>
      <c r="J108" s="1"/>
      <c r="K108" s="1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50" t="str">
        <f>+'Rev. Fachada'!A12</f>
        <v>REVESTIMENTOS ARGAMASSADOS</v>
      </c>
      <c r="B109" s="151"/>
      <c r="C109" s="152"/>
      <c r="D109" s="136">
        <f>+'Rev. Fachada'!I17</f>
        <v>422760</v>
      </c>
      <c r="E109" s="137"/>
      <c r="F109" s="137"/>
      <c r="G109" s="137"/>
      <c r="H109" s="138"/>
      <c r="I109" s="27"/>
      <c r="J109" s="1"/>
      <c r="K109" s="1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48" t="str">
        <f>+'Rev. Fachada'!A20</f>
        <v>PINTURA</v>
      </c>
      <c r="B110" s="137"/>
      <c r="C110" s="138"/>
      <c r="D110" s="136">
        <f>+'Rev. Fachada'!I24</f>
        <v>0</v>
      </c>
      <c r="E110" s="137"/>
      <c r="F110" s="137"/>
      <c r="G110" s="137"/>
      <c r="H110" s="138"/>
      <c r="I110" s="27"/>
      <c r="J110" s="1"/>
      <c r="K110" s="1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48" t="str">
        <f>+'Rev. Fachada'!A26</f>
        <v>REVESTIMENTOS ESPECIAIS</v>
      </c>
      <c r="B111" s="137"/>
      <c r="C111" s="138"/>
      <c r="D111" s="136">
        <f>+'Rev. Fachada'!I35</f>
        <v>27819676.241799999</v>
      </c>
      <c r="E111" s="137"/>
      <c r="F111" s="137"/>
      <c r="G111" s="137"/>
      <c r="H111" s="138"/>
      <c r="I111" s="27"/>
      <c r="J111" s="1"/>
      <c r="K111" s="1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33" t="s">
        <v>63</v>
      </c>
      <c r="B112" s="134"/>
      <c r="C112" s="135"/>
      <c r="D112" s="139">
        <f>SUM(D109:H111)</f>
        <v>28242436.241799999</v>
      </c>
      <c r="E112" s="134"/>
      <c r="F112" s="134"/>
      <c r="G112" s="134"/>
      <c r="H112" s="135"/>
      <c r="I112" s="27"/>
      <c r="J112" s="1"/>
      <c r="K112" s="1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40"/>
      <c r="B113" s="33"/>
      <c r="C113" s="33"/>
      <c r="D113" s="42"/>
      <c r="E113" s="43"/>
      <c r="F113" s="43"/>
      <c r="G113" s="44"/>
      <c r="H113" s="33"/>
      <c r="I113" s="34"/>
      <c r="J113" s="1"/>
      <c r="K113" s="1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8"/>
      <c r="E114" s="1"/>
      <c r="F114" s="1"/>
      <c r="G114" s="1"/>
      <c r="H114" s="1"/>
      <c r="I114" s="1"/>
      <c r="J114" s="1"/>
      <c r="K114" s="1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21" t="s">
        <v>77</v>
      </c>
      <c r="B115" s="22"/>
      <c r="C115" s="22"/>
      <c r="D115" s="36"/>
      <c r="E115" s="22"/>
      <c r="F115" s="22"/>
      <c r="G115" s="22"/>
      <c r="H115" s="22"/>
      <c r="I115" s="24"/>
      <c r="J115" s="1"/>
      <c r="K115" s="1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37"/>
      <c r="B116" s="1"/>
      <c r="C116" s="1"/>
      <c r="D116" s="35"/>
      <c r="E116" s="1"/>
      <c r="F116" s="1"/>
      <c r="G116" s="1"/>
      <c r="H116" s="1"/>
      <c r="I116" s="27"/>
      <c r="J116" s="1"/>
      <c r="K116" s="1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44" t="s">
        <v>14</v>
      </c>
      <c r="B117" s="134"/>
      <c r="C117" s="145"/>
      <c r="D117" s="143" t="s">
        <v>62</v>
      </c>
      <c r="E117" s="134"/>
      <c r="F117" s="134"/>
      <c r="G117" s="134"/>
      <c r="H117" s="135"/>
      <c r="I117" s="27"/>
      <c r="J117" s="1"/>
      <c r="K117" s="1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46" t="e">
        <f>+#REF!</f>
        <v>#REF!</v>
      </c>
      <c r="B118" s="134"/>
      <c r="C118" s="135"/>
      <c r="D118" s="136" t="e">
        <f>+#REF!</f>
        <v>#REF!</v>
      </c>
      <c r="E118" s="137"/>
      <c r="F118" s="137"/>
      <c r="G118" s="137"/>
      <c r="H118" s="138"/>
      <c r="I118" s="27"/>
      <c r="J118" s="1"/>
      <c r="K118" s="1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33" t="s">
        <v>63</v>
      </c>
      <c r="B119" s="134"/>
      <c r="C119" s="135"/>
      <c r="D119" s="139" t="e">
        <f>SUM(D118)</f>
        <v>#REF!</v>
      </c>
      <c r="E119" s="134"/>
      <c r="F119" s="134"/>
      <c r="G119" s="134"/>
      <c r="H119" s="135"/>
      <c r="I119" s="27"/>
      <c r="J119" s="1"/>
      <c r="K119" s="1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40"/>
      <c r="B120" s="33"/>
      <c r="C120" s="33"/>
      <c r="D120" s="42"/>
      <c r="E120" s="43"/>
      <c r="F120" s="43"/>
      <c r="G120" s="44"/>
      <c r="H120" s="33"/>
      <c r="I120" s="34"/>
      <c r="J120" s="1"/>
      <c r="K120" s="1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8"/>
      <c r="E121" s="1"/>
      <c r="F121" s="1"/>
      <c r="G121" s="1"/>
      <c r="H121" s="1"/>
      <c r="I121" s="1"/>
      <c r="J121" s="1"/>
      <c r="K121" s="1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21" t="s">
        <v>78</v>
      </c>
      <c r="B122" s="22"/>
      <c r="C122" s="22"/>
      <c r="D122" s="36"/>
      <c r="E122" s="22"/>
      <c r="F122" s="22"/>
      <c r="G122" s="22"/>
      <c r="H122" s="22"/>
      <c r="I122" s="24"/>
      <c r="J122" s="1"/>
      <c r="K122" s="1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37"/>
      <c r="B123" s="1"/>
      <c r="C123" s="1"/>
      <c r="D123" s="35"/>
      <c r="E123" s="1"/>
      <c r="F123" s="1"/>
      <c r="G123" s="1"/>
      <c r="H123" s="1"/>
      <c r="I123" s="27"/>
      <c r="J123" s="1"/>
      <c r="K123" s="1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44" t="s">
        <v>14</v>
      </c>
      <c r="B124" s="134"/>
      <c r="C124" s="145"/>
      <c r="D124" s="143" t="s">
        <v>62</v>
      </c>
      <c r="E124" s="134"/>
      <c r="F124" s="134"/>
      <c r="G124" s="134"/>
      <c r="H124" s="135"/>
      <c r="I124" s="27"/>
      <c r="J124" s="1"/>
      <c r="K124" s="1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46" t="str">
        <f>+Complementares!A12</f>
        <v>SERVIÇOS COMPLEMENTARES</v>
      </c>
      <c r="B125" s="134"/>
      <c r="C125" s="135"/>
      <c r="D125" s="136">
        <f>+Complementares!I21</f>
        <v>10578808.879999999</v>
      </c>
      <c r="E125" s="137"/>
      <c r="F125" s="137"/>
      <c r="G125" s="137"/>
      <c r="H125" s="138"/>
      <c r="I125" s="27"/>
      <c r="J125" s="1"/>
      <c r="K125" s="1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33" t="s">
        <v>63</v>
      </c>
      <c r="B126" s="134"/>
      <c r="C126" s="135"/>
      <c r="D126" s="139">
        <f>SUM(D125)</f>
        <v>10578808.879999999</v>
      </c>
      <c r="E126" s="134"/>
      <c r="F126" s="134"/>
      <c r="G126" s="134"/>
      <c r="H126" s="135"/>
      <c r="I126" s="27"/>
      <c r="J126" s="1"/>
      <c r="K126" s="1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40"/>
      <c r="B127" s="33"/>
      <c r="C127" s="33"/>
      <c r="D127" s="42"/>
      <c r="E127" s="43"/>
      <c r="F127" s="43"/>
      <c r="G127" s="44"/>
      <c r="H127" s="33"/>
      <c r="I127" s="34"/>
      <c r="J127" s="1"/>
      <c r="K127" s="1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8"/>
      <c r="E128" s="1"/>
      <c r="F128" s="1"/>
      <c r="G128" s="1"/>
      <c r="H128" s="1"/>
      <c r="I128" s="1"/>
      <c r="J128" s="1"/>
      <c r="K128" s="1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47" t="s">
        <v>79</v>
      </c>
      <c r="B129" s="47"/>
      <c r="C129" s="47"/>
      <c r="D129" s="140" t="e">
        <f>D126+D112+D103+D96+D89+D82+D75+D68+D50+D41+D34+D27+D18+D61</f>
        <v>#REF!</v>
      </c>
      <c r="E129" s="141"/>
      <c r="F129" s="141"/>
      <c r="G129" s="141"/>
      <c r="H129" s="142"/>
      <c r="I129" s="1"/>
      <c r="J129" s="1"/>
      <c r="K129" s="17"/>
      <c r="L129" s="1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47"/>
      <c r="B130" s="47"/>
      <c r="C130" s="47"/>
      <c r="D130" s="48"/>
      <c r="E130" s="47"/>
      <c r="F130" s="47"/>
      <c r="G130" s="49" t="e">
        <f>D129/'Dados Gerais'!E15</f>
        <v>#REF!</v>
      </c>
      <c r="H130" s="47" t="s">
        <v>80</v>
      </c>
      <c r="I130" s="1"/>
      <c r="J130" s="1"/>
      <c r="K130" s="17" t="s">
        <v>81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47"/>
      <c r="B131" s="47"/>
      <c r="C131" s="47"/>
      <c r="D131" s="47" t="s">
        <v>82</v>
      </c>
      <c r="E131" s="50">
        <v>2750.52</v>
      </c>
      <c r="F131" s="51">
        <v>45139</v>
      </c>
      <c r="G131" s="49" t="e">
        <f>G130/E131</f>
        <v>#REF!</v>
      </c>
      <c r="H131" s="47" t="s">
        <v>83</v>
      </c>
      <c r="I131" s="1"/>
      <c r="J131" s="1"/>
      <c r="K131" s="17">
        <f>(110.33+94.87+27.83+37.43)*5</f>
        <v>1352.3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8"/>
      <c r="E132" s="1"/>
      <c r="F132" s="1"/>
      <c r="G132" s="17"/>
      <c r="H132" s="1"/>
      <c r="I132" s="1"/>
      <c r="J132" s="1"/>
      <c r="K132" s="17">
        <f>(40.65+33.3+63.45+55.35+27.83+37.43)*2</f>
        <v>516.02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8"/>
      <c r="E133" s="1"/>
      <c r="F133" s="1"/>
      <c r="G133" s="17"/>
      <c r="H133" s="1"/>
      <c r="I133" s="1"/>
      <c r="J133" s="1"/>
      <c r="K133" s="17">
        <f>(37.16+29.81+36.18+28.08+27.24+27.83+37.43)*14</f>
        <v>3132.2200000000003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8"/>
      <c r="E134" s="1"/>
      <c r="F134" s="1"/>
      <c r="G134" s="1"/>
      <c r="H134" s="1"/>
      <c r="I134" s="1"/>
      <c r="J134" s="1"/>
      <c r="K134" s="17">
        <f>181.03+165.58</f>
        <v>346.61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8"/>
      <c r="E135" s="1"/>
      <c r="F135" s="1"/>
      <c r="G135" s="1"/>
      <c r="H135" s="1"/>
      <c r="I135" s="1"/>
      <c r="J135" s="1"/>
      <c r="K135" s="17">
        <f>SUM(K131:K134)</f>
        <v>5347.15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8"/>
      <c r="E136" s="1"/>
      <c r="F136" s="1"/>
      <c r="G136" s="1"/>
      <c r="H136" s="1"/>
      <c r="I136" s="1"/>
      <c r="J136" s="1"/>
      <c r="K136" s="1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8"/>
      <c r="E137" s="1"/>
      <c r="F137" s="1"/>
      <c r="G137" s="1"/>
      <c r="H137" s="1"/>
      <c r="I137" s="1"/>
      <c r="J137" s="1"/>
      <c r="K137" s="1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8"/>
      <c r="E138" s="1"/>
      <c r="F138" s="1"/>
      <c r="G138" s="1"/>
      <c r="H138" s="1"/>
      <c r="I138" s="1"/>
      <c r="J138" s="1"/>
      <c r="K138" s="1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8"/>
      <c r="E139" s="1"/>
      <c r="F139" s="1"/>
      <c r="G139" s="1"/>
      <c r="H139" s="1"/>
      <c r="I139" s="1"/>
      <c r="J139" s="1"/>
      <c r="K139" s="1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8"/>
      <c r="E140" s="1"/>
      <c r="F140" s="1"/>
      <c r="G140" s="1"/>
      <c r="H140" s="1"/>
      <c r="I140" s="1"/>
      <c r="J140" s="1"/>
      <c r="K140" s="1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8"/>
      <c r="E141" s="1"/>
      <c r="F141" s="1"/>
      <c r="G141" s="1"/>
      <c r="H141" s="1"/>
      <c r="I141" s="1"/>
      <c r="J141" s="1"/>
      <c r="K141" s="1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8"/>
      <c r="E142" s="1"/>
      <c r="F142" s="1"/>
      <c r="G142" s="1"/>
      <c r="H142" s="1"/>
      <c r="I142" s="1"/>
      <c r="J142" s="1"/>
      <c r="K142" s="1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8"/>
      <c r="E143" s="1"/>
      <c r="F143" s="1"/>
      <c r="G143" s="1"/>
      <c r="H143" s="1"/>
      <c r="I143" s="1"/>
      <c r="J143" s="1"/>
      <c r="K143" s="1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8"/>
      <c r="E144" s="1"/>
      <c r="F144" s="1"/>
      <c r="G144" s="1"/>
      <c r="H144" s="1"/>
      <c r="I144" s="1"/>
      <c r="J144" s="1"/>
      <c r="K144" s="1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8"/>
      <c r="E145" s="1"/>
      <c r="F145" s="1"/>
      <c r="G145" s="1"/>
      <c r="H145" s="1"/>
      <c r="I145" s="1"/>
      <c r="J145" s="1"/>
      <c r="K145" s="1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8"/>
      <c r="E146" s="1"/>
      <c r="F146" s="1"/>
      <c r="G146" s="1"/>
      <c r="H146" s="1"/>
      <c r="I146" s="1"/>
      <c r="J146" s="1"/>
      <c r="K146" s="1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8"/>
      <c r="E147" s="1"/>
      <c r="F147" s="1"/>
      <c r="G147" s="1"/>
      <c r="H147" s="1"/>
      <c r="I147" s="1"/>
      <c r="J147" s="1"/>
      <c r="K147" s="1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8"/>
      <c r="E148" s="1"/>
      <c r="F148" s="1"/>
      <c r="G148" s="1"/>
      <c r="H148" s="1"/>
      <c r="I148" s="1"/>
      <c r="J148" s="1"/>
      <c r="K148" s="1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8"/>
      <c r="E149" s="1"/>
      <c r="F149" s="1"/>
      <c r="G149" s="1"/>
      <c r="H149" s="1"/>
      <c r="I149" s="1"/>
      <c r="J149" s="1"/>
      <c r="K149" s="1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8"/>
      <c r="E150" s="1"/>
      <c r="F150" s="1"/>
      <c r="G150" s="1"/>
      <c r="H150" s="1"/>
      <c r="I150" s="1"/>
      <c r="J150" s="1"/>
      <c r="K150" s="1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8"/>
      <c r="E151" s="1"/>
      <c r="F151" s="1"/>
      <c r="G151" s="1"/>
      <c r="H151" s="1"/>
      <c r="I151" s="1"/>
      <c r="J151" s="1"/>
      <c r="K151" s="1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8"/>
      <c r="E152" s="1"/>
      <c r="F152" s="1"/>
      <c r="G152" s="1"/>
      <c r="H152" s="1"/>
      <c r="I152" s="1"/>
      <c r="J152" s="1"/>
      <c r="K152" s="1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8"/>
      <c r="E153" s="1"/>
      <c r="F153" s="1"/>
      <c r="G153" s="1"/>
      <c r="H153" s="1"/>
      <c r="I153" s="1"/>
      <c r="J153" s="1"/>
      <c r="K153" s="1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8"/>
      <c r="E154" s="1"/>
      <c r="F154" s="1"/>
      <c r="G154" s="1"/>
      <c r="H154" s="1"/>
      <c r="I154" s="1"/>
      <c r="J154" s="1"/>
      <c r="K154" s="1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8"/>
      <c r="E155" s="1"/>
      <c r="F155" s="1"/>
      <c r="G155" s="1"/>
      <c r="H155" s="1"/>
      <c r="I155" s="1"/>
      <c r="J155" s="1"/>
      <c r="K155" s="1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8"/>
      <c r="E156" s="1"/>
      <c r="F156" s="1"/>
      <c r="G156" s="1"/>
      <c r="H156" s="1"/>
      <c r="I156" s="1"/>
      <c r="J156" s="1"/>
      <c r="K156" s="1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8"/>
      <c r="E157" s="1"/>
      <c r="F157" s="1"/>
      <c r="G157" s="1"/>
      <c r="H157" s="1"/>
      <c r="I157" s="1"/>
      <c r="J157" s="1"/>
      <c r="K157" s="1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8"/>
      <c r="E158" s="1"/>
      <c r="F158" s="1"/>
      <c r="G158" s="1"/>
      <c r="H158" s="1"/>
      <c r="I158" s="1"/>
      <c r="J158" s="1"/>
      <c r="K158" s="1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8"/>
      <c r="E159" s="1"/>
      <c r="F159" s="1"/>
      <c r="G159" s="1"/>
      <c r="H159" s="1"/>
      <c r="I159" s="1"/>
      <c r="J159" s="1"/>
      <c r="K159" s="1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8"/>
      <c r="E160" s="1"/>
      <c r="F160" s="1"/>
      <c r="G160" s="1"/>
      <c r="H160" s="1"/>
      <c r="I160" s="1"/>
      <c r="J160" s="1"/>
      <c r="K160" s="1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8"/>
      <c r="E161" s="1"/>
      <c r="F161" s="1"/>
      <c r="G161" s="1"/>
      <c r="H161" s="1"/>
      <c r="I161" s="1"/>
      <c r="J161" s="1"/>
      <c r="K161" s="1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8"/>
      <c r="E162" s="1"/>
      <c r="F162" s="1"/>
      <c r="G162" s="1"/>
      <c r="H162" s="1"/>
      <c r="I162" s="1"/>
      <c r="J162" s="1"/>
      <c r="K162" s="1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8"/>
      <c r="E163" s="1"/>
      <c r="F163" s="1"/>
      <c r="G163" s="1"/>
      <c r="H163" s="1"/>
      <c r="I163" s="1"/>
      <c r="J163" s="1"/>
      <c r="K163" s="1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8"/>
      <c r="E164" s="1"/>
      <c r="F164" s="1"/>
      <c r="G164" s="1"/>
      <c r="H164" s="1"/>
      <c r="I164" s="1"/>
      <c r="J164" s="1"/>
      <c r="K164" s="1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8"/>
      <c r="E165" s="1"/>
      <c r="F165" s="1"/>
      <c r="G165" s="1"/>
      <c r="H165" s="1"/>
      <c r="I165" s="1"/>
      <c r="J165" s="1"/>
      <c r="K165" s="1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8"/>
      <c r="E166" s="1"/>
      <c r="F166" s="1"/>
      <c r="G166" s="1"/>
      <c r="H166" s="1"/>
      <c r="I166" s="1"/>
      <c r="J166" s="1"/>
      <c r="K166" s="1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8"/>
      <c r="E167" s="1"/>
      <c r="F167" s="1"/>
      <c r="G167" s="1"/>
      <c r="H167" s="1"/>
      <c r="I167" s="1"/>
      <c r="J167" s="1"/>
      <c r="K167" s="1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8"/>
      <c r="E168" s="1"/>
      <c r="F168" s="1"/>
      <c r="G168" s="1"/>
      <c r="H168" s="1"/>
      <c r="I168" s="1"/>
      <c r="J168" s="1"/>
      <c r="K168" s="1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8"/>
      <c r="E169" s="1"/>
      <c r="F169" s="1"/>
      <c r="G169" s="1"/>
      <c r="H169" s="1"/>
      <c r="I169" s="1"/>
      <c r="J169" s="1"/>
      <c r="K169" s="1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8"/>
      <c r="E170" s="1"/>
      <c r="F170" s="1"/>
      <c r="G170" s="1"/>
      <c r="H170" s="1"/>
      <c r="I170" s="1"/>
      <c r="J170" s="1"/>
      <c r="K170" s="1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8"/>
      <c r="E171" s="1"/>
      <c r="F171" s="1"/>
      <c r="G171" s="1"/>
      <c r="H171" s="1"/>
      <c r="I171" s="1"/>
      <c r="J171" s="1"/>
      <c r="K171" s="1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8"/>
      <c r="E172" s="1"/>
      <c r="F172" s="1"/>
      <c r="G172" s="1"/>
      <c r="H172" s="1"/>
      <c r="I172" s="1"/>
      <c r="J172" s="1"/>
      <c r="K172" s="1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8"/>
      <c r="E173" s="1"/>
      <c r="F173" s="1"/>
      <c r="G173" s="1"/>
      <c r="H173" s="1"/>
      <c r="I173" s="1"/>
      <c r="J173" s="1"/>
      <c r="K173" s="1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8"/>
      <c r="E174" s="1"/>
      <c r="F174" s="1"/>
      <c r="G174" s="1"/>
      <c r="H174" s="1"/>
      <c r="I174" s="1"/>
      <c r="J174" s="1"/>
      <c r="K174" s="1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8"/>
      <c r="E175" s="1"/>
      <c r="F175" s="1"/>
      <c r="G175" s="1"/>
      <c r="H175" s="1"/>
      <c r="I175" s="1"/>
      <c r="J175" s="1"/>
      <c r="K175" s="1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8"/>
      <c r="E176" s="1"/>
      <c r="F176" s="1"/>
      <c r="G176" s="1"/>
      <c r="H176" s="1"/>
      <c r="I176" s="1"/>
      <c r="J176" s="1"/>
      <c r="K176" s="1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8"/>
      <c r="E177" s="1"/>
      <c r="F177" s="1"/>
      <c r="G177" s="1"/>
      <c r="H177" s="1"/>
      <c r="I177" s="1"/>
      <c r="J177" s="1"/>
      <c r="K177" s="1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8"/>
      <c r="E178" s="1"/>
      <c r="F178" s="1"/>
      <c r="G178" s="1"/>
      <c r="H178" s="1"/>
      <c r="I178" s="1"/>
      <c r="J178" s="1"/>
      <c r="K178" s="1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8"/>
      <c r="E179" s="1"/>
      <c r="F179" s="1"/>
      <c r="G179" s="1"/>
      <c r="H179" s="1"/>
      <c r="I179" s="1"/>
      <c r="J179" s="1"/>
      <c r="K179" s="1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8"/>
      <c r="E180" s="1"/>
      <c r="F180" s="1"/>
      <c r="G180" s="1"/>
      <c r="H180" s="1"/>
      <c r="I180" s="1"/>
      <c r="J180" s="1"/>
      <c r="K180" s="1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8"/>
      <c r="E181" s="1"/>
      <c r="F181" s="1"/>
      <c r="G181" s="1"/>
      <c r="H181" s="1"/>
      <c r="I181" s="1"/>
      <c r="J181" s="1"/>
      <c r="K181" s="1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8"/>
      <c r="E182" s="1"/>
      <c r="F182" s="1"/>
      <c r="G182" s="1"/>
      <c r="H182" s="1"/>
      <c r="I182" s="1"/>
      <c r="J182" s="1"/>
      <c r="K182" s="1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8"/>
      <c r="E183" s="1"/>
      <c r="F183" s="1"/>
      <c r="G183" s="1"/>
      <c r="H183" s="1"/>
      <c r="I183" s="1"/>
      <c r="J183" s="1"/>
      <c r="K183" s="1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8"/>
      <c r="E184" s="1"/>
      <c r="F184" s="1"/>
      <c r="G184" s="1"/>
      <c r="H184" s="1"/>
      <c r="I184" s="1"/>
      <c r="J184" s="1"/>
      <c r="K184" s="1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8"/>
      <c r="E185" s="1"/>
      <c r="F185" s="1"/>
      <c r="G185" s="1"/>
      <c r="H185" s="1"/>
      <c r="I185" s="1"/>
      <c r="J185" s="1"/>
      <c r="K185" s="1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8"/>
      <c r="E186" s="1"/>
      <c r="F186" s="1"/>
      <c r="G186" s="1"/>
      <c r="H186" s="1"/>
      <c r="I186" s="1"/>
      <c r="J186" s="1"/>
      <c r="K186" s="1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8"/>
      <c r="E187" s="1"/>
      <c r="F187" s="1"/>
      <c r="G187" s="1"/>
      <c r="H187" s="1"/>
      <c r="I187" s="1"/>
      <c r="J187" s="1"/>
      <c r="K187" s="1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8"/>
      <c r="E188" s="1"/>
      <c r="F188" s="1"/>
      <c r="G188" s="1"/>
      <c r="H188" s="1"/>
      <c r="I188" s="1"/>
      <c r="J188" s="1"/>
      <c r="K188" s="1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8"/>
      <c r="E189" s="1"/>
      <c r="F189" s="1"/>
      <c r="G189" s="1"/>
      <c r="H189" s="1"/>
      <c r="I189" s="1"/>
      <c r="J189" s="1"/>
      <c r="K189" s="1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8"/>
      <c r="E190" s="1"/>
      <c r="F190" s="1"/>
      <c r="G190" s="1"/>
      <c r="H190" s="1"/>
      <c r="I190" s="1"/>
      <c r="J190" s="1"/>
      <c r="K190" s="1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8"/>
      <c r="E191" s="1"/>
      <c r="F191" s="1"/>
      <c r="G191" s="1"/>
      <c r="H191" s="1"/>
      <c r="I191" s="1"/>
      <c r="J191" s="1"/>
      <c r="K191" s="1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8"/>
      <c r="E192" s="1"/>
      <c r="F192" s="1"/>
      <c r="G192" s="1"/>
      <c r="H192" s="1"/>
      <c r="I192" s="1"/>
      <c r="J192" s="1"/>
      <c r="K192" s="1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8"/>
      <c r="E193" s="1"/>
      <c r="F193" s="1"/>
      <c r="G193" s="1"/>
      <c r="H193" s="1"/>
      <c r="I193" s="1"/>
      <c r="J193" s="1"/>
      <c r="K193" s="1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8"/>
      <c r="E194" s="1"/>
      <c r="F194" s="1"/>
      <c r="G194" s="1"/>
      <c r="H194" s="1"/>
      <c r="I194" s="1"/>
      <c r="J194" s="1"/>
      <c r="K194" s="1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8"/>
      <c r="E195" s="1"/>
      <c r="F195" s="1"/>
      <c r="G195" s="1"/>
      <c r="H195" s="1"/>
      <c r="I195" s="1"/>
      <c r="J195" s="1"/>
      <c r="K195" s="1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8"/>
      <c r="E196" s="1"/>
      <c r="F196" s="1"/>
      <c r="G196" s="1"/>
      <c r="H196" s="1"/>
      <c r="I196" s="1"/>
      <c r="J196" s="1"/>
      <c r="K196" s="1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8"/>
      <c r="E197" s="1"/>
      <c r="F197" s="1"/>
      <c r="G197" s="1"/>
      <c r="H197" s="1"/>
      <c r="I197" s="1"/>
      <c r="J197" s="1"/>
      <c r="K197" s="1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8"/>
      <c r="E198" s="1"/>
      <c r="F198" s="1"/>
      <c r="G198" s="1"/>
      <c r="H198" s="1"/>
      <c r="I198" s="1"/>
      <c r="J198" s="1"/>
      <c r="K198" s="1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8"/>
      <c r="E199" s="1"/>
      <c r="F199" s="1"/>
      <c r="G199" s="1"/>
      <c r="H199" s="1"/>
      <c r="I199" s="1"/>
      <c r="J199" s="1"/>
      <c r="K199" s="1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8"/>
      <c r="E200" s="1"/>
      <c r="F200" s="1"/>
      <c r="G200" s="1"/>
      <c r="H200" s="1"/>
      <c r="I200" s="1"/>
      <c r="J200" s="1"/>
      <c r="K200" s="1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8"/>
      <c r="E201" s="1"/>
      <c r="F201" s="1"/>
      <c r="G201" s="1"/>
      <c r="H201" s="1"/>
      <c r="I201" s="1"/>
      <c r="J201" s="1"/>
      <c r="K201" s="1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8"/>
      <c r="E202" s="1"/>
      <c r="F202" s="1"/>
      <c r="G202" s="1"/>
      <c r="H202" s="1"/>
      <c r="I202" s="1"/>
      <c r="J202" s="1"/>
      <c r="K202" s="1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8"/>
      <c r="E203" s="1"/>
      <c r="F203" s="1"/>
      <c r="G203" s="1"/>
      <c r="H203" s="1"/>
      <c r="I203" s="1"/>
      <c r="J203" s="1"/>
      <c r="K203" s="1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8"/>
      <c r="E204" s="1"/>
      <c r="F204" s="1"/>
      <c r="G204" s="1"/>
      <c r="H204" s="1"/>
      <c r="I204" s="1"/>
      <c r="J204" s="1"/>
      <c r="K204" s="1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8"/>
      <c r="E205" s="1"/>
      <c r="F205" s="1"/>
      <c r="G205" s="1"/>
      <c r="H205" s="1"/>
      <c r="I205" s="1"/>
      <c r="J205" s="1"/>
      <c r="K205" s="1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8"/>
      <c r="E206" s="1"/>
      <c r="F206" s="1"/>
      <c r="G206" s="1"/>
      <c r="H206" s="1"/>
      <c r="I206" s="1"/>
      <c r="J206" s="1"/>
      <c r="K206" s="1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8"/>
      <c r="E207" s="1"/>
      <c r="F207" s="1"/>
      <c r="G207" s="1"/>
      <c r="H207" s="1"/>
      <c r="I207" s="1"/>
      <c r="J207" s="1"/>
      <c r="K207" s="1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8"/>
      <c r="E208" s="1"/>
      <c r="F208" s="1"/>
      <c r="G208" s="1"/>
      <c r="H208" s="1"/>
      <c r="I208" s="1"/>
      <c r="J208" s="1"/>
      <c r="K208" s="1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8"/>
      <c r="E209" s="1"/>
      <c r="F209" s="1"/>
      <c r="G209" s="1"/>
      <c r="H209" s="1"/>
      <c r="I209" s="1"/>
      <c r="J209" s="1"/>
      <c r="K209" s="1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8"/>
      <c r="E210" s="1"/>
      <c r="F210" s="1"/>
      <c r="G210" s="1"/>
      <c r="H210" s="1"/>
      <c r="I210" s="1"/>
      <c r="J210" s="1"/>
      <c r="K210" s="1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8"/>
      <c r="E211" s="1"/>
      <c r="F211" s="1"/>
      <c r="G211" s="1"/>
      <c r="H211" s="1"/>
      <c r="I211" s="1"/>
      <c r="J211" s="1"/>
      <c r="K211" s="1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8"/>
      <c r="E212" s="1"/>
      <c r="F212" s="1"/>
      <c r="G212" s="1"/>
      <c r="H212" s="1"/>
      <c r="I212" s="1"/>
      <c r="J212" s="1"/>
      <c r="K212" s="1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8"/>
      <c r="E213" s="1"/>
      <c r="F213" s="1"/>
      <c r="G213" s="1"/>
      <c r="H213" s="1"/>
      <c r="I213" s="1"/>
      <c r="J213" s="1"/>
      <c r="K213" s="1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8"/>
      <c r="E214" s="1"/>
      <c r="F214" s="1"/>
      <c r="G214" s="1"/>
      <c r="H214" s="1"/>
      <c r="I214" s="1"/>
      <c r="J214" s="1"/>
      <c r="K214" s="1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8"/>
      <c r="E215" s="1"/>
      <c r="F215" s="1"/>
      <c r="G215" s="1"/>
      <c r="H215" s="1"/>
      <c r="I215" s="1"/>
      <c r="J215" s="1"/>
      <c r="K215" s="1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8"/>
      <c r="E216" s="1"/>
      <c r="F216" s="1"/>
      <c r="G216" s="1"/>
      <c r="H216" s="1"/>
      <c r="I216" s="1"/>
      <c r="J216" s="1"/>
      <c r="K216" s="1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8"/>
      <c r="E217" s="1"/>
      <c r="F217" s="1"/>
      <c r="G217" s="1"/>
      <c r="H217" s="1"/>
      <c r="I217" s="1"/>
      <c r="J217" s="1"/>
      <c r="K217" s="1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8"/>
      <c r="E218" s="1"/>
      <c r="F218" s="1"/>
      <c r="G218" s="1"/>
      <c r="H218" s="1"/>
      <c r="I218" s="1"/>
      <c r="J218" s="1"/>
      <c r="K218" s="1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8"/>
      <c r="E219" s="1"/>
      <c r="F219" s="1"/>
      <c r="G219" s="1"/>
      <c r="H219" s="1"/>
      <c r="I219" s="1"/>
      <c r="J219" s="1"/>
      <c r="K219" s="1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8"/>
      <c r="E220" s="1"/>
      <c r="F220" s="1"/>
      <c r="G220" s="1"/>
      <c r="H220" s="1"/>
      <c r="I220" s="1"/>
      <c r="J220" s="1"/>
      <c r="K220" s="1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8"/>
      <c r="E221" s="1"/>
      <c r="F221" s="1"/>
      <c r="G221" s="1"/>
      <c r="H221" s="1"/>
      <c r="I221" s="1"/>
      <c r="J221" s="1"/>
      <c r="K221" s="1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8"/>
      <c r="E222" s="1"/>
      <c r="F222" s="1"/>
      <c r="G222" s="1"/>
      <c r="H222" s="1"/>
      <c r="I222" s="1"/>
      <c r="J222" s="1"/>
      <c r="K222" s="1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8"/>
      <c r="E223" s="1"/>
      <c r="F223" s="1"/>
      <c r="G223" s="1"/>
      <c r="H223" s="1"/>
      <c r="I223" s="1"/>
      <c r="J223" s="1"/>
      <c r="K223" s="1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8"/>
      <c r="E224" s="1"/>
      <c r="F224" s="1"/>
      <c r="G224" s="1"/>
      <c r="H224" s="1"/>
      <c r="I224" s="1"/>
      <c r="J224" s="1"/>
      <c r="K224" s="1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8"/>
      <c r="E225" s="1"/>
      <c r="F225" s="1"/>
      <c r="G225" s="1"/>
      <c r="H225" s="1"/>
      <c r="I225" s="1"/>
      <c r="J225" s="1"/>
      <c r="K225" s="1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8"/>
      <c r="E226" s="1"/>
      <c r="F226" s="1"/>
      <c r="G226" s="1"/>
      <c r="H226" s="1"/>
      <c r="I226" s="1"/>
      <c r="J226" s="1"/>
      <c r="K226" s="1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8"/>
      <c r="E227" s="1"/>
      <c r="F227" s="1"/>
      <c r="G227" s="1"/>
      <c r="H227" s="1"/>
      <c r="I227" s="1"/>
      <c r="J227" s="1"/>
      <c r="K227" s="1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8"/>
      <c r="E228" s="1"/>
      <c r="F228" s="1"/>
      <c r="G228" s="1"/>
      <c r="H228" s="1"/>
      <c r="I228" s="1"/>
      <c r="J228" s="1"/>
      <c r="K228" s="1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8"/>
      <c r="E229" s="1"/>
      <c r="F229" s="1"/>
      <c r="G229" s="1"/>
      <c r="H229" s="1"/>
      <c r="I229" s="1"/>
      <c r="J229" s="1"/>
      <c r="K229" s="1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8"/>
      <c r="E230" s="1"/>
      <c r="F230" s="1"/>
      <c r="G230" s="1"/>
      <c r="H230" s="1"/>
      <c r="I230" s="1"/>
      <c r="J230" s="1"/>
      <c r="K230" s="1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8"/>
      <c r="E231" s="1"/>
      <c r="F231" s="1"/>
      <c r="G231" s="1"/>
      <c r="H231" s="1"/>
      <c r="I231" s="1"/>
      <c r="J231" s="1"/>
      <c r="K231" s="1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8"/>
      <c r="E232" s="1"/>
      <c r="F232" s="1"/>
      <c r="G232" s="1"/>
      <c r="H232" s="1"/>
      <c r="I232" s="1"/>
      <c r="J232" s="1"/>
      <c r="K232" s="1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8"/>
      <c r="E233" s="1"/>
      <c r="F233" s="1"/>
      <c r="G233" s="1"/>
      <c r="H233" s="1"/>
      <c r="I233" s="1"/>
      <c r="J233" s="1"/>
      <c r="K233" s="1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8"/>
      <c r="E234" s="1"/>
      <c r="F234" s="1"/>
      <c r="G234" s="1"/>
      <c r="H234" s="1"/>
      <c r="I234" s="1"/>
      <c r="J234" s="1"/>
      <c r="K234" s="1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8"/>
      <c r="E235" s="1"/>
      <c r="F235" s="1"/>
      <c r="G235" s="1"/>
      <c r="H235" s="1"/>
      <c r="I235" s="1"/>
      <c r="J235" s="1"/>
      <c r="K235" s="1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8"/>
      <c r="E236" s="1"/>
      <c r="F236" s="1"/>
      <c r="G236" s="1"/>
      <c r="H236" s="1"/>
      <c r="I236" s="1"/>
      <c r="J236" s="1"/>
      <c r="K236" s="1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8"/>
      <c r="E237" s="1"/>
      <c r="F237" s="1"/>
      <c r="G237" s="1"/>
      <c r="H237" s="1"/>
      <c r="I237" s="1"/>
      <c r="J237" s="1"/>
      <c r="K237" s="1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8"/>
      <c r="E238" s="1"/>
      <c r="F238" s="1"/>
      <c r="G238" s="1"/>
      <c r="H238" s="1"/>
      <c r="I238" s="1"/>
      <c r="J238" s="1"/>
      <c r="K238" s="1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8"/>
      <c r="E239" s="1"/>
      <c r="F239" s="1"/>
      <c r="G239" s="1"/>
      <c r="H239" s="1"/>
      <c r="I239" s="1"/>
      <c r="J239" s="1"/>
      <c r="K239" s="1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8"/>
      <c r="E240" s="1"/>
      <c r="F240" s="1"/>
      <c r="G240" s="1"/>
      <c r="H240" s="1"/>
      <c r="I240" s="1"/>
      <c r="J240" s="1"/>
      <c r="K240" s="1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8"/>
      <c r="E241" s="1"/>
      <c r="F241" s="1"/>
      <c r="G241" s="1"/>
      <c r="H241" s="1"/>
      <c r="I241" s="1"/>
      <c r="J241" s="1"/>
      <c r="K241" s="1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8"/>
      <c r="E242" s="1"/>
      <c r="F242" s="1"/>
      <c r="G242" s="1"/>
      <c r="H242" s="1"/>
      <c r="I242" s="1"/>
      <c r="J242" s="1"/>
      <c r="K242" s="1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8"/>
      <c r="E243" s="1"/>
      <c r="F243" s="1"/>
      <c r="G243" s="1"/>
      <c r="H243" s="1"/>
      <c r="I243" s="1"/>
      <c r="J243" s="1"/>
      <c r="K243" s="1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8"/>
      <c r="E244" s="1"/>
      <c r="F244" s="1"/>
      <c r="G244" s="1"/>
      <c r="H244" s="1"/>
      <c r="I244" s="1"/>
      <c r="J244" s="1"/>
      <c r="K244" s="1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8"/>
      <c r="E245" s="1"/>
      <c r="F245" s="1"/>
      <c r="G245" s="1"/>
      <c r="H245" s="1"/>
      <c r="I245" s="1"/>
      <c r="J245" s="1"/>
      <c r="K245" s="1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8"/>
      <c r="E246" s="1"/>
      <c r="F246" s="1"/>
      <c r="G246" s="1"/>
      <c r="H246" s="1"/>
      <c r="I246" s="1"/>
      <c r="J246" s="1"/>
      <c r="K246" s="1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8"/>
      <c r="E247" s="1"/>
      <c r="F247" s="1"/>
      <c r="G247" s="1"/>
      <c r="H247" s="1"/>
      <c r="I247" s="1"/>
      <c r="J247" s="1"/>
      <c r="K247" s="1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8"/>
      <c r="E248" s="1"/>
      <c r="F248" s="1"/>
      <c r="G248" s="1"/>
      <c r="H248" s="1"/>
      <c r="I248" s="1"/>
      <c r="J248" s="1"/>
      <c r="K248" s="1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8"/>
      <c r="E249" s="1"/>
      <c r="F249" s="1"/>
      <c r="G249" s="1"/>
      <c r="H249" s="1"/>
      <c r="I249" s="1"/>
      <c r="J249" s="1"/>
      <c r="K249" s="1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8"/>
      <c r="E250" s="1"/>
      <c r="F250" s="1"/>
      <c r="G250" s="1"/>
      <c r="H250" s="1"/>
      <c r="I250" s="1"/>
      <c r="J250" s="1"/>
      <c r="K250" s="1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8"/>
      <c r="E251" s="1"/>
      <c r="F251" s="1"/>
      <c r="G251" s="1"/>
      <c r="H251" s="1"/>
      <c r="I251" s="1"/>
      <c r="J251" s="1"/>
      <c r="K251" s="1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8"/>
      <c r="E252" s="1"/>
      <c r="F252" s="1"/>
      <c r="G252" s="1"/>
      <c r="H252" s="1"/>
      <c r="I252" s="1"/>
      <c r="J252" s="1"/>
      <c r="K252" s="1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8"/>
      <c r="E253" s="1"/>
      <c r="F253" s="1"/>
      <c r="G253" s="1"/>
      <c r="H253" s="1"/>
      <c r="I253" s="1"/>
      <c r="J253" s="1"/>
      <c r="K253" s="1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8"/>
      <c r="E254" s="1"/>
      <c r="F254" s="1"/>
      <c r="G254" s="1"/>
      <c r="H254" s="1"/>
      <c r="I254" s="1"/>
      <c r="J254" s="1"/>
      <c r="K254" s="1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8"/>
      <c r="E255" s="1"/>
      <c r="F255" s="1"/>
      <c r="G255" s="1"/>
      <c r="H255" s="1"/>
      <c r="I255" s="1"/>
      <c r="J255" s="1"/>
      <c r="K255" s="1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8"/>
      <c r="E256" s="1"/>
      <c r="F256" s="1"/>
      <c r="G256" s="1"/>
      <c r="H256" s="1"/>
      <c r="I256" s="1"/>
      <c r="J256" s="1"/>
      <c r="K256" s="1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8"/>
      <c r="E257" s="1"/>
      <c r="F257" s="1"/>
      <c r="G257" s="1"/>
      <c r="H257" s="1"/>
      <c r="I257" s="1"/>
      <c r="J257" s="1"/>
      <c r="K257" s="1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8"/>
      <c r="E258" s="1"/>
      <c r="F258" s="1"/>
      <c r="G258" s="1"/>
      <c r="H258" s="1"/>
      <c r="I258" s="1"/>
      <c r="J258" s="1"/>
      <c r="K258" s="1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8"/>
      <c r="E259" s="1"/>
      <c r="F259" s="1"/>
      <c r="G259" s="1"/>
      <c r="H259" s="1"/>
      <c r="I259" s="1"/>
      <c r="J259" s="1"/>
      <c r="K259" s="1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8"/>
      <c r="E260" s="1"/>
      <c r="F260" s="1"/>
      <c r="G260" s="1"/>
      <c r="H260" s="1"/>
      <c r="I260" s="1"/>
      <c r="J260" s="1"/>
      <c r="K260" s="1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8"/>
      <c r="E261" s="1"/>
      <c r="F261" s="1"/>
      <c r="G261" s="1"/>
      <c r="H261" s="1"/>
      <c r="I261" s="1"/>
      <c r="J261" s="1"/>
      <c r="K261" s="1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8"/>
      <c r="E262" s="1"/>
      <c r="F262" s="1"/>
      <c r="G262" s="1"/>
      <c r="H262" s="1"/>
      <c r="I262" s="1"/>
      <c r="J262" s="1"/>
      <c r="K262" s="1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8"/>
      <c r="E263" s="1"/>
      <c r="F263" s="1"/>
      <c r="G263" s="1"/>
      <c r="H263" s="1"/>
      <c r="I263" s="1"/>
      <c r="J263" s="1"/>
      <c r="K263" s="1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8"/>
      <c r="E264" s="1"/>
      <c r="F264" s="1"/>
      <c r="G264" s="1"/>
      <c r="H264" s="1"/>
      <c r="I264" s="1"/>
      <c r="J264" s="1"/>
      <c r="K264" s="1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8"/>
      <c r="E265" s="1"/>
      <c r="F265" s="1"/>
      <c r="G265" s="1"/>
      <c r="H265" s="1"/>
      <c r="I265" s="1"/>
      <c r="J265" s="1"/>
      <c r="K265" s="1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8"/>
      <c r="E266" s="1"/>
      <c r="F266" s="1"/>
      <c r="G266" s="1"/>
      <c r="H266" s="1"/>
      <c r="I266" s="1"/>
      <c r="J266" s="1"/>
      <c r="K266" s="1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8"/>
      <c r="E267" s="1"/>
      <c r="F267" s="1"/>
      <c r="G267" s="1"/>
      <c r="H267" s="1"/>
      <c r="I267" s="1"/>
      <c r="J267" s="1"/>
      <c r="K267" s="1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8"/>
      <c r="E268" s="1"/>
      <c r="F268" s="1"/>
      <c r="G268" s="1"/>
      <c r="H268" s="1"/>
      <c r="I268" s="1"/>
      <c r="J268" s="1"/>
      <c r="K268" s="1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8"/>
      <c r="E269" s="1"/>
      <c r="F269" s="1"/>
      <c r="G269" s="1"/>
      <c r="H269" s="1"/>
      <c r="I269" s="1"/>
      <c r="J269" s="1"/>
      <c r="K269" s="1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8"/>
      <c r="E270" s="1"/>
      <c r="F270" s="1"/>
      <c r="G270" s="1"/>
      <c r="H270" s="1"/>
      <c r="I270" s="1"/>
      <c r="J270" s="1"/>
      <c r="K270" s="1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8"/>
      <c r="E271" s="1"/>
      <c r="F271" s="1"/>
      <c r="G271" s="1"/>
      <c r="H271" s="1"/>
      <c r="I271" s="1"/>
      <c r="J271" s="1"/>
      <c r="K271" s="1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8"/>
      <c r="E272" s="1"/>
      <c r="F272" s="1"/>
      <c r="G272" s="1"/>
      <c r="H272" s="1"/>
      <c r="I272" s="1"/>
      <c r="J272" s="1"/>
      <c r="K272" s="1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8"/>
      <c r="E273" s="1"/>
      <c r="F273" s="1"/>
      <c r="G273" s="1"/>
      <c r="H273" s="1"/>
      <c r="I273" s="1"/>
      <c r="J273" s="1"/>
      <c r="K273" s="1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8"/>
      <c r="E274" s="1"/>
      <c r="F274" s="1"/>
      <c r="G274" s="1"/>
      <c r="H274" s="1"/>
      <c r="I274" s="1"/>
      <c r="J274" s="1"/>
      <c r="K274" s="1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8"/>
      <c r="E275" s="1"/>
      <c r="F275" s="1"/>
      <c r="G275" s="1"/>
      <c r="H275" s="1"/>
      <c r="I275" s="1"/>
      <c r="J275" s="1"/>
      <c r="K275" s="1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8"/>
      <c r="E276" s="1"/>
      <c r="F276" s="1"/>
      <c r="G276" s="1"/>
      <c r="H276" s="1"/>
      <c r="I276" s="1"/>
      <c r="J276" s="1"/>
      <c r="K276" s="1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8"/>
      <c r="E277" s="1"/>
      <c r="F277" s="1"/>
      <c r="G277" s="1"/>
      <c r="H277" s="1"/>
      <c r="I277" s="1"/>
      <c r="J277" s="1"/>
      <c r="K277" s="1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8"/>
      <c r="E278" s="1"/>
      <c r="F278" s="1"/>
      <c r="G278" s="1"/>
      <c r="H278" s="1"/>
      <c r="I278" s="1"/>
      <c r="J278" s="1"/>
      <c r="K278" s="1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8"/>
      <c r="E279" s="1"/>
      <c r="F279" s="1"/>
      <c r="G279" s="1"/>
      <c r="H279" s="1"/>
      <c r="I279" s="1"/>
      <c r="J279" s="1"/>
      <c r="K279" s="1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8"/>
      <c r="E280" s="1"/>
      <c r="F280" s="1"/>
      <c r="G280" s="1"/>
      <c r="H280" s="1"/>
      <c r="I280" s="1"/>
      <c r="J280" s="1"/>
      <c r="K280" s="1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8"/>
      <c r="E281" s="1"/>
      <c r="F281" s="1"/>
      <c r="G281" s="1"/>
      <c r="H281" s="1"/>
      <c r="I281" s="1"/>
      <c r="J281" s="1"/>
      <c r="K281" s="1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8"/>
      <c r="E282" s="1"/>
      <c r="F282" s="1"/>
      <c r="G282" s="1"/>
      <c r="H282" s="1"/>
      <c r="I282" s="1"/>
      <c r="J282" s="1"/>
      <c r="K282" s="1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8"/>
      <c r="E283" s="1"/>
      <c r="F283" s="1"/>
      <c r="G283" s="1"/>
      <c r="H283" s="1"/>
      <c r="I283" s="1"/>
      <c r="J283" s="1"/>
      <c r="K283" s="1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8"/>
      <c r="E284" s="1"/>
      <c r="F284" s="1"/>
      <c r="G284" s="1"/>
      <c r="H284" s="1"/>
      <c r="I284" s="1"/>
      <c r="J284" s="1"/>
      <c r="K284" s="1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8"/>
      <c r="E285" s="1"/>
      <c r="F285" s="1"/>
      <c r="G285" s="1"/>
      <c r="H285" s="1"/>
      <c r="I285" s="1"/>
      <c r="J285" s="1"/>
      <c r="K285" s="1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8"/>
      <c r="E286" s="1"/>
      <c r="F286" s="1"/>
      <c r="G286" s="1"/>
      <c r="H286" s="1"/>
      <c r="I286" s="1"/>
      <c r="J286" s="1"/>
      <c r="K286" s="1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8"/>
      <c r="E287" s="1"/>
      <c r="F287" s="1"/>
      <c r="G287" s="1"/>
      <c r="H287" s="1"/>
      <c r="I287" s="1"/>
      <c r="J287" s="1"/>
      <c r="K287" s="1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8"/>
      <c r="E288" s="1"/>
      <c r="F288" s="1"/>
      <c r="G288" s="1"/>
      <c r="H288" s="1"/>
      <c r="I288" s="1"/>
      <c r="J288" s="1"/>
      <c r="K288" s="1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8"/>
      <c r="E289" s="1"/>
      <c r="F289" s="1"/>
      <c r="G289" s="1"/>
      <c r="H289" s="1"/>
      <c r="I289" s="1"/>
      <c r="J289" s="1"/>
      <c r="K289" s="1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8"/>
      <c r="E290" s="1"/>
      <c r="F290" s="1"/>
      <c r="G290" s="1"/>
      <c r="H290" s="1"/>
      <c r="I290" s="1"/>
      <c r="J290" s="1"/>
      <c r="K290" s="1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8"/>
      <c r="E291" s="1"/>
      <c r="F291" s="1"/>
      <c r="G291" s="1"/>
      <c r="H291" s="1"/>
      <c r="I291" s="1"/>
      <c r="J291" s="1"/>
      <c r="K291" s="1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8"/>
      <c r="E292" s="1"/>
      <c r="F292" s="1"/>
      <c r="G292" s="1"/>
      <c r="H292" s="1"/>
      <c r="I292" s="1"/>
      <c r="J292" s="1"/>
      <c r="K292" s="1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8"/>
      <c r="E293" s="1"/>
      <c r="F293" s="1"/>
      <c r="G293" s="1"/>
      <c r="H293" s="1"/>
      <c r="I293" s="1"/>
      <c r="J293" s="1"/>
      <c r="K293" s="1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8"/>
      <c r="E294" s="1"/>
      <c r="F294" s="1"/>
      <c r="G294" s="1"/>
      <c r="H294" s="1"/>
      <c r="I294" s="1"/>
      <c r="J294" s="1"/>
      <c r="K294" s="1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8"/>
      <c r="E295" s="1"/>
      <c r="F295" s="1"/>
      <c r="G295" s="1"/>
      <c r="H295" s="1"/>
      <c r="I295" s="1"/>
      <c r="J295" s="1"/>
      <c r="K295" s="1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8"/>
      <c r="E296" s="1"/>
      <c r="F296" s="1"/>
      <c r="G296" s="1"/>
      <c r="H296" s="1"/>
      <c r="I296" s="1"/>
      <c r="J296" s="1"/>
      <c r="K296" s="1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8"/>
      <c r="E297" s="1"/>
      <c r="F297" s="1"/>
      <c r="G297" s="1"/>
      <c r="H297" s="1"/>
      <c r="I297" s="1"/>
      <c r="J297" s="1"/>
      <c r="K297" s="1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8"/>
      <c r="E298" s="1"/>
      <c r="F298" s="1"/>
      <c r="G298" s="1"/>
      <c r="H298" s="1"/>
      <c r="I298" s="1"/>
      <c r="J298" s="1"/>
      <c r="K298" s="1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8"/>
      <c r="E299" s="1"/>
      <c r="F299" s="1"/>
      <c r="G299" s="1"/>
      <c r="H299" s="1"/>
      <c r="I299" s="1"/>
      <c r="J299" s="1"/>
      <c r="K299" s="1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8"/>
      <c r="E300" s="1"/>
      <c r="F300" s="1"/>
      <c r="G300" s="1"/>
      <c r="H300" s="1"/>
      <c r="I300" s="1"/>
      <c r="J300" s="1"/>
      <c r="K300" s="1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8"/>
      <c r="E301" s="1"/>
      <c r="F301" s="1"/>
      <c r="G301" s="1"/>
      <c r="H301" s="1"/>
      <c r="I301" s="1"/>
      <c r="J301" s="1"/>
      <c r="K301" s="1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8"/>
      <c r="E302" s="1"/>
      <c r="F302" s="1"/>
      <c r="G302" s="1"/>
      <c r="H302" s="1"/>
      <c r="I302" s="1"/>
      <c r="J302" s="1"/>
      <c r="K302" s="1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8"/>
      <c r="E303" s="1"/>
      <c r="F303" s="1"/>
      <c r="G303" s="1"/>
      <c r="H303" s="1"/>
      <c r="I303" s="1"/>
      <c r="J303" s="1"/>
      <c r="K303" s="1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8"/>
      <c r="E304" s="1"/>
      <c r="F304" s="1"/>
      <c r="G304" s="1"/>
      <c r="H304" s="1"/>
      <c r="I304" s="1"/>
      <c r="J304" s="1"/>
      <c r="K304" s="1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8"/>
      <c r="E305" s="1"/>
      <c r="F305" s="1"/>
      <c r="G305" s="1"/>
      <c r="H305" s="1"/>
      <c r="I305" s="1"/>
      <c r="J305" s="1"/>
      <c r="K305" s="1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8"/>
      <c r="E306" s="1"/>
      <c r="F306" s="1"/>
      <c r="G306" s="1"/>
      <c r="H306" s="1"/>
      <c r="I306" s="1"/>
      <c r="J306" s="1"/>
      <c r="K306" s="1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8"/>
      <c r="E307" s="1"/>
      <c r="F307" s="1"/>
      <c r="G307" s="1"/>
      <c r="H307" s="1"/>
      <c r="I307" s="1"/>
      <c r="J307" s="1"/>
      <c r="K307" s="1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8"/>
      <c r="E308" s="1"/>
      <c r="F308" s="1"/>
      <c r="G308" s="1"/>
      <c r="H308" s="1"/>
      <c r="I308" s="1"/>
      <c r="J308" s="1"/>
      <c r="K308" s="1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8"/>
      <c r="E309" s="1"/>
      <c r="F309" s="1"/>
      <c r="G309" s="1"/>
      <c r="H309" s="1"/>
      <c r="I309" s="1"/>
      <c r="J309" s="1"/>
      <c r="K309" s="1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8"/>
      <c r="E310" s="1"/>
      <c r="F310" s="1"/>
      <c r="G310" s="1"/>
      <c r="H310" s="1"/>
      <c r="I310" s="1"/>
      <c r="J310" s="1"/>
      <c r="K310" s="1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8"/>
      <c r="E311" s="1"/>
      <c r="F311" s="1"/>
      <c r="G311" s="1"/>
      <c r="H311" s="1"/>
      <c r="I311" s="1"/>
      <c r="J311" s="1"/>
      <c r="K311" s="1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8"/>
      <c r="E312" s="1"/>
      <c r="F312" s="1"/>
      <c r="G312" s="1"/>
      <c r="H312" s="1"/>
      <c r="I312" s="1"/>
      <c r="J312" s="1"/>
      <c r="K312" s="1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8"/>
      <c r="E313" s="1"/>
      <c r="F313" s="1"/>
      <c r="G313" s="1"/>
      <c r="H313" s="1"/>
      <c r="I313" s="1"/>
      <c r="J313" s="1"/>
      <c r="K313" s="1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8"/>
      <c r="E314" s="1"/>
      <c r="F314" s="1"/>
      <c r="G314" s="1"/>
      <c r="H314" s="1"/>
      <c r="I314" s="1"/>
      <c r="J314" s="1"/>
      <c r="K314" s="1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8"/>
      <c r="E315" s="1"/>
      <c r="F315" s="1"/>
      <c r="G315" s="1"/>
      <c r="H315" s="1"/>
      <c r="I315" s="1"/>
      <c r="J315" s="1"/>
      <c r="K315" s="1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8"/>
      <c r="E316" s="1"/>
      <c r="F316" s="1"/>
      <c r="G316" s="1"/>
      <c r="H316" s="1"/>
      <c r="I316" s="1"/>
      <c r="J316" s="1"/>
      <c r="K316" s="1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8"/>
      <c r="E317" s="1"/>
      <c r="F317" s="1"/>
      <c r="G317" s="1"/>
      <c r="H317" s="1"/>
      <c r="I317" s="1"/>
      <c r="J317" s="1"/>
      <c r="K317" s="1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8"/>
      <c r="E318" s="1"/>
      <c r="F318" s="1"/>
      <c r="G318" s="1"/>
      <c r="H318" s="1"/>
      <c r="I318" s="1"/>
      <c r="J318" s="1"/>
      <c r="K318" s="1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8"/>
      <c r="E319" s="1"/>
      <c r="F319" s="1"/>
      <c r="G319" s="1"/>
      <c r="H319" s="1"/>
      <c r="I319" s="1"/>
      <c r="J319" s="1"/>
      <c r="K319" s="1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8"/>
      <c r="E320" s="1"/>
      <c r="F320" s="1"/>
      <c r="G320" s="1"/>
      <c r="H320" s="1"/>
      <c r="I320" s="1"/>
      <c r="J320" s="1"/>
      <c r="K320" s="1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8"/>
      <c r="E321" s="1"/>
      <c r="F321" s="1"/>
      <c r="G321" s="1"/>
      <c r="H321" s="1"/>
      <c r="I321" s="1"/>
      <c r="J321" s="1"/>
      <c r="K321" s="1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8"/>
      <c r="E322" s="1"/>
      <c r="F322" s="1"/>
      <c r="G322" s="1"/>
      <c r="H322" s="1"/>
      <c r="I322" s="1"/>
      <c r="J322" s="1"/>
      <c r="K322" s="1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8"/>
      <c r="E323" s="1"/>
      <c r="F323" s="1"/>
      <c r="G323" s="1"/>
      <c r="H323" s="1"/>
      <c r="I323" s="1"/>
      <c r="J323" s="1"/>
      <c r="K323" s="1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8"/>
      <c r="E324" s="1"/>
      <c r="F324" s="1"/>
      <c r="G324" s="1"/>
      <c r="H324" s="1"/>
      <c r="I324" s="1"/>
      <c r="J324" s="1"/>
      <c r="K324" s="1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8"/>
      <c r="E325" s="1"/>
      <c r="F325" s="1"/>
      <c r="G325" s="1"/>
      <c r="H325" s="1"/>
      <c r="I325" s="1"/>
      <c r="J325" s="1"/>
      <c r="K325" s="1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8"/>
      <c r="E326" s="1"/>
      <c r="F326" s="1"/>
      <c r="G326" s="1"/>
      <c r="H326" s="1"/>
      <c r="I326" s="1"/>
      <c r="J326" s="1"/>
      <c r="K326" s="1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8"/>
      <c r="E327" s="1"/>
      <c r="F327" s="1"/>
      <c r="G327" s="1"/>
      <c r="H327" s="1"/>
      <c r="I327" s="1"/>
      <c r="J327" s="1"/>
      <c r="K327" s="1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8"/>
      <c r="E328" s="1"/>
      <c r="F328" s="1"/>
      <c r="G328" s="1"/>
      <c r="H328" s="1"/>
      <c r="I328" s="1"/>
      <c r="J328" s="1"/>
      <c r="K328" s="1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8"/>
      <c r="E329" s="1"/>
      <c r="F329" s="1"/>
      <c r="G329" s="1"/>
      <c r="H329" s="1"/>
      <c r="I329" s="1"/>
      <c r="J329" s="1"/>
      <c r="K329" s="1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8"/>
      <c r="E330" s="1"/>
      <c r="F330" s="1"/>
      <c r="G330" s="1"/>
      <c r="H330" s="1"/>
      <c r="I330" s="1"/>
      <c r="J330" s="1"/>
      <c r="K330" s="1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8"/>
      <c r="E331" s="1"/>
      <c r="F331" s="1"/>
      <c r="G331" s="1"/>
      <c r="H331" s="1"/>
      <c r="I331" s="1"/>
      <c r="J331" s="1"/>
      <c r="K331" s="1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8"/>
      <c r="E332" s="1"/>
      <c r="F332" s="1"/>
      <c r="G332" s="1"/>
      <c r="H332" s="1"/>
      <c r="I332" s="1"/>
      <c r="J332" s="1"/>
      <c r="K332" s="1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8"/>
      <c r="E333" s="1"/>
      <c r="F333" s="1"/>
      <c r="G333" s="1"/>
      <c r="H333" s="1"/>
      <c r="I333" s="1"/>
      <c r="J333" s="1"/>
      <c r="K333" s="17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8"/>
      <c r="E334" s="1"/>
      <c r="F334" s="1"/>
      <c r="G334" s="1"/>
      <c r="H334" s="1"/>
      <c r="I334" s="1"/>
      <c r="J334" s="1"/>
      <c r="K334" s="1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8"/>
      <c r="E335" s="1"/>
      <c r="F335" s="1"/>
      <c r="G335" s="1"/>
      <c r="H335" s="1"/>
      <c r="I335" s="1"/>
      <c r="J335" s="1"/>
      <c r="K335" s="1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8"/>
      <c r="E336" s="1"/>
      <c r="F336" s="1"/>
      <c r="G336" s="1"/>
      <c r="H336" s="1"/>
      <c r="I336" s="1"/>
      <c r="J336" s="1"/>
      <c r="K336" s="1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8"/>
      <c r="E337" s="1"/>
      <c r="F337" s="1"/>
      <c r="G337" s="1"/>
      <c r="H337" s="1"/>
      <c r="I337" s="1"/>
      <c r="J337" s="1"/>
      <c r="K337" s="1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8"/>
      <c r="E338" s="1"/>
      <c r="F338" s="1"/>
      <c r="G338" s="1"/>
      <c r="H338" s="1"/>
      <c r="I338" s="1"/>
      <c r="J338" s="1"/>
      <c r="K338" s="1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8"/>
      <c r="E339" s="1"/>
      <c r="F339" s="1"/>
      <c r="G339" s="1"/>
      <c r="H339" s="1"/>
      <c r="I339" s="1"/>
      <c r="J339" s="1"/>
      <c r="K339" s="1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8"/>
      <c r="E340" s="1"/>
      <c r="F340" s="1"/>
      <c r="G340" s="1"/>
      <c r="H340" s="1"/>
      <c r="I340" s="1"/>
      <c r="J340" s="1"/>
      <c r="K340" s="1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8"/>
      <c r="E341" s="1"/>
      <c r="F341" s="1"/>
      <c r="G341" s="1"/>
      <c r="H341" s="1"/>
      <c r="I341" s="1"/>
      <c r="J341" s="1"/>
      <c r="K341" s="1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8"/>
      <c r="E342" s="1"/>
      <c r="F342" s="1"/>
      <c r="G342" s="1"/>
      <c r="H342" s="1"/>
      <c r="I342" s="1"/>
      <c r="J342" s="1"/>
      <c r="K342" s="1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8"/>
      <c r="E343" s="1"/>
      <c r="F343" s="1"/>
      <c r="G343" s="1"/>
      <c r="H343" s="1"/>
      <c r="I343" s="1"/>
      <c r="J343" s="1"/>
      <c r="K343" s="1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8"/>
      <c r="E344" s="1"/>
      <c r="F344" s="1"/>
      <c r="G344" s="1"/>
      <c r="H344" s="1"/>
      <c r="I344" s="1"/>
      <c r="J344" s="1"/>
      <c r="K344" s="1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8"/>
      <c r="E345" s="1"/>
      <c r="F345" s="1"/>
      <c r="G345" s="1"/>
      <c r="H345" s="1"/>
      <c r="I345" s="1"/>
      <c r="J345" s="1"/>
      <c r="K345" s="1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8"/>
      <c r="E346" s="1"/>
      <c r="F346" s="1"/>
      <c r="G346" s="1"/>
      <c r="H346" s="1"/>
      <c r="I346" s="1"/>
      <c r="J346" s="1"/>
      <c r="K346" s="1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8"/>
      <c r="E347" s="1"/>
      <c r="F347" s="1"/>
      <c r="G347" s="1"/>
      <c r="H347" s="1"/>
      <c r="I347" s="1"/>
      <c r="J347" s="1"/>
      <c r="K347" s="1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8"/>
      <c r="E348" s="1"/>
      <c r="F348" s="1"/>
      <c r="G348" s="1"/>
      <c r="H348" s="1"/>
      <c r="I348" s="1"/>
      <c r="J348" s="1"/>
      <c r="K348" s="1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8"/>
      <c r="E349" s="1"/>
      <c r="F349" s="1"/>
      <c r="G349" s="1"/>
      <c r="H349" s="1"/>
      <c r="I349" s="1"/>
      <c r="J349" s="1"/>
      <c r="K349" s="1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8"/>
      <c r="E350" s="1"/>
      <c r="F350" s="1"/>
      <c r="G350" s="1"/>
      <c r="H350" s="1"/>
      <c r="I350" s="1"/>
      <c r="J350" s="1"/>
      <c r="K350" s="1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8"/>
      <c r="E351" s="1"/>
      <c r="F351" s="1"/>
      <c r="G351" s="1"/>
      <c r="H351" s="1"/>
      <c r="I351" s="1"/>
      <c r="J351" s="1"/>
      <c r="K351" s="1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8"/>
      <c r="E352" s="1"/>
      <c r="F352" s="1"/>
      <c r="G352" s="1"/>
      <c r="H352" s="1"/>
      <c r="I352" s="1"/>
      <c r="J352" s="1"/>
      <c r="K352" s="1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8"/>
      <c r="E353" s="1"/>
      <c r="F353" s="1"/>
      <c r="G353" s="1"/>
      <c r="H353" s="1"/>
      <c r="I353" s="1"/>
      <c r="J353" s="1"/>
      <c r="K353" s="1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8"/>
      <c r="E354" s="1"/>
      <c r="F354" s="1"/>
      <c r="G354" s="1"/>
      <c r="H354" s="1"/>
      <c r="I354" s="1"/>
      <c r="J354" s="1"/>
      <c r="K354" s="1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8"/>
      <c r="E355" s="1"/>
      <c r="F355" s="1"/>
      <c r="G355" s="1"/>
      <c r="H355" s="1"/>
      <c r="I355" s="1"/>
      <c r="J355" s="1"/>
      <c r="K355" s="1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8"/>
      <c r="E356" s="1"/>
      <c r="F356" s="1"/>
      <c r="G356" s="1"/>
      <c r="H356" s="1"/>
      <c r="I356" s="1"/>
      <c r="J356" s="1"/>
      <c r="K356" s="1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8"/>
      <c r="E357" s="1"/>
      <c r="F357" s="1"/>
      <c r="G357" s="1"/>
      <c r="H357" s="1"/>
      <c r="I357" s="1"/>
      <c r="J357" s="1"/>
      <c r="K357" s="1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8"/>
      <c r="E358" s="1"/>
      <c r="F358" s="1"/>
      <c r="G358" s="1"/>
      <c r="H358" s="1"/>
      <c r="I358" s="1"/>
      <c r="J358" s="1"/>
      <c r="K358" s="1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8"/>
      <c r="E359" s="1"/>
      <c r="F359" s="1"/>
      <c r="G359" s="1"/>
      <c r="H359" s="1"/>
      <c r="I359" s="1"/>
      <c r="J359" s="1"/>
      <c r="K359" s="1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8"/>
      <c r="E360" s="1"/>
      <c r="F360" s="1"/>
      <c r="G360" s="1"/>
      <c r="H360" s="1"/>
      <c r="I360" s="1"/>
      <c r="J360" s="1"/>
      <c r="K360" s="1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8"/>
      <c r="E361" s="1"/>
      <c r="F361" s="1"/>
      <c r="G361" s="1"/>
      <c r="H361" s="1"/>
      <c r="I361" s="1"/>
      <c r="J361" s="1"/>
      <c r="K361" s="17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8"/>
      <c r="E362" s="1"/>
      <c r="F362" s="1"/>
      <c r="G362" s="1"/>
      <c r="H362" s="1"/>
      <c r="I362" s="1"/>
      <c r="J362" s="1"/>
      <c r="K362" s="1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8"/>
      <c r="E363" s="1"/>
      <c r="F363" s="1"/>
      <c r="G363" s="1"/>
      <c r="H363" s="1"/>
      <c r="I363" s="1"/>
      <c r="J363" s="1"/>
      <c r="K363" s="1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8"/>
      <c r="E364" s="1"/>
      <c r="F364" s="1"/>
      <c r="G364" s="1"/>
      <c r="H364" s="1"/>
      <c r="I364" s="1"/>
      <c r="J364" s="1"/>
      <c r="K364" s="1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8"/>
      <c r="E365" s="1"/>
      <c r="F365" s="1"/>
      <c r="G365" s="1"/>
      <c r="H365" s="1"/>
      <c r="I365" s="1"/>
      <c r="J365" s="1"/>
      <c r="K365" s="1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8"/>
      <c r="E366" s="1"/>
      <c r="F366" s="1"/>
      <c r="G366" s="1"/>
      <c r="H366" s="1"/>
      <c r="I366" s="1"/>
      <c r="J366" s="1"/>
      <c r="K366" s="1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8"/>
      <c r="E367" s="1"/>
      <c r="F367" s="1"/>
      <c r="G367" s="1"/>
      <c r="H367" s="1"/>
      <c r="I367" s="1"/>
      <c r="J367" s="1"/>
      <c r="K367" s="1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8"/>
      <c r="E368" s="1"/>
      <c r="F368" s="1"/>
      <c r="G368" s="1"/>
      <c r="H368" s="1"/>
      <c r="I368" s="1"/>
      <c r="J368" s="1"/>
      <c r="K368" s="1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8"/>
      <c r="E369" s="1"/>
      <c r="F369" s="1"/>
      <c r="G369" s="1"/>
      <c r="H369" s="1"/>
      <c r="I369" s="1"/>
      <c r="J369" s="1"/>
      <c r="K369" s="1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8"/>
      <c r="E370" s="1"/>
      <c r="F370" s="1"/>
      <c r="G370" s="1"/>
      <c r="H370" s="1"/>
      <c r="I370" s="1"/>
      <c r="J370" s="1"/>
      <c r="K370" s="1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8"/>
      <c r="E371" s="1"/>
      <c r="F371" s="1"/>
      <c r="G371" s="1"/>
      <c r="H371" s="1"/>
      <c r="I371" s="1"/>
      <c r="J371" s="1"/>
      <c r="K371" s="1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8"/>
      <c r="E372" s="1"/>
      <c r="F372" s="1"/>
      <c r="G372" s="1"/>
      <c r="H372" s="1"/>
      <c r="I372" s="1"/>
      <c r="J372" s="1"/>
      <c r="K372" s="1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8"/>
      <c r="E373" s="1"/>
      <c r="F373" s="1"/>
      <c r="G373" s="1"/>
      <c r="H373" s="1"/>
      <c r="I373" s="1"/>
      <c r="J373" s="1"/>
      <c r="K373" s="1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8"/>
      <c r="E374" s="1"/>
      <c r="F374" s="1"/>
      <c r="G374" s="1"/>
      <c r="H374" s="1"/>
      <c r="I374" s="1"/>
      <c r="J374" s="1"/>
      <c r="K374" s="1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8"/>
      <c r="E375" s="1"/>
      <c r="F375" s="1"/>
      <c r="G375" s="1"/>
      <c r="H375" s="1"/>
      <c r="I375" s="1"/>
      <c r="J375" s="1"/>
      <c r="K375" s="1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8"/>
      <c r="E376" s="1"/>
      <c r="F376" s="1"/>
      <c r="G376" s="1"/>
      <c r="H376" s="1"/>
      <c r="I376" s="1"/>
      <c r="J376" s="1"/>
      <c r="K376" s="1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8"/>
      <c r="E377" s="1"/>
      <c r="F377" s="1"/>
      <c r="G377" s="1"/>
      <c r="H377" s="1"/>
      <c r="I377" s="1"/>
      <c r="J377" s="1"/>
      <c r="K377" s="1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8"/>
      <c r="E378" s="1"/>
      <c r="F378" s="1"/>
      <c r="G378" s="1"/>
      <c r="H378" s="1"/>
      <c r="I378" s="1"/>
      <c r="J378" s="1"/>
      <c r="K378" s="1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8"/>
      <c r="E379" s="1"/>
      <c r="F379" s="1"/>
      <c r="G379" s="1"/>
      <c r="H379" s="1"/>
      <c r="I379" s="1"/>
      <c r="J379" s="1"/>
      <c r="K379" s="1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8"/>
      <c r="E380" s="1"/>
      <c r="F380" s="1"/>
      <c r="G380" s="1"/>
      <c r="H380" s="1"/>
      <c r="I380" s="1"/>
      <c r="J380" s="1"/>
      <c r="K380" s="1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8"/>
      <c r="E381" s="1"/>
      <c r="F381" s="1"/>
      <c r="G381" s="1"/>
      <c r="H381" s="1"/>
      <c r="I381" s="1"/>
      <c r="J381" s="1"/>
      <c r="K381" s="1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8"/>
      <c r="E382" s="1"/>
      <c r="F382" s="1"/>
      <c r="G382" s="1"/>
      <c r="H382" s="1"/>
      <c r="I382" s="1"/>
      <c r="J382" s="1"/>
      <c r="K382" s="1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8"/>
      <c r="E383" s="1"/>
      <c r="F383" s="1"/>
      <c r="G383" s="1"/>
      <c r="H383" s="1"/>
      <c r="I383" s="1"/>
      <c r="J383" s="1"/>
      <c r="K383" s="1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8"/>
      <c r="E384" s="1"/>
      <c r="F384" s="1"/>
      <c r="G384" s="1"/>
      <c r="H384" s="1"/>
      <c r="I384" s="1"/>
      <c r="J384" s="1"/>
      <c r="K384" s="1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8"/>
      <c r="E385" s="1"/>
      <c r="F385" s="1"/>
      <c r="G385" s="1"/>
      <c r="H385" s="1"/>
      <c r="I385" s="1"/>
      <c r="J385" s="1"/>
      <c r="K385" s="1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8"/>
      <c r="E386" s="1"/>
      <c r="F386" s="1"/>
      <c r="G386" s="1"/>
      <c r="H386" s="1"/>
      <c r="I386" s="1"/>
      <c r="J386" s="1"/>
      <c r="K386" s="1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8"/>
      <c r="E387" s="1"/>
      <c r="F387" s="1"/>
      <c r="G387" s="1"/>
      <c r="H387" s="1"/>
      <c r="I387" s="1"/>
      <c r="J387" s="1"/>
      <c r="K387" s="1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8"/>
      <c r="E388" s="1"/>
      <c r="F388" s="1"/>
      <c r="G388" s="1"/>
      <c r="H388" s="1"/>
      <c r="I388" s="1"/>
      <c r="J388" s="1"/>
      <c r="K388" s="1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8"/>
      <c r="E389" s="1"/>
      <c r="F389" s="1"/>
      <c r="G389" s="1"/>
      <c r="H389" s="1"/>
      <c r="I389" s="1"/>
      <c r="J389" s="1"/>
      <c r="K389" s="1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8"/>
      <c r="E390" s="1"/>
      <c r="F390" s="1"/>
      <c r="G390" s="1"/>
      <c r="H390" s="1"/>
      <c r="I390" s="1"/>
      <c r="J390" s="1"/>
      <c r="K390" s="1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8"/>
      <c r="E391" s="1"/>
      <c r="F391" s="1"/>
      <c r="G391" s="1"/>
      <c r="H391" s="1"/>
      <c r="I391" s="1"/>
      <c r="J391" s="1"/>
      <c r="K391" s="1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8"/>
      <c r="E392" s="1"/>
      <c r="F392" s="1"/>
      <c r="G392" s="1"/>
      <c r="H392" s="1"/>
      <c r="I392" s="1"/>
      <c r="J392" s="1"/>
      <c r="K392" s="1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8"/>
      <c r="E393" s="1"/>
      <c r="F393" s="1"/>
      <c r="G393" s="1"/>
      <c r="H393" s="1"/>
      <c r="I393" s="1"/>
      <c r="J393" s="1"/>
      <c r="K393" s="1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8"/>
      <c r="E394" s="1"/>
      <c r="F394" s="1"/>
      <c r="G394" s="1"/>
      <c r="H394" s="1"/>
      <c r="I394" s="1"/>
      <c r="J394" s="1"/>
      <c r="K394" s="1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8"/>
      <c r="E395" s="1"/>
      <c r="F395" s="1"/>
      <c r="G395" s="1"/>
      <c r="H395" s="1"/>
      <c r="I395" s="1"/>
      <c r="J395" s="1"/>
      <c r="K395" s="1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8"/>
      <c r="E396" s="1"/>
      <c r="F396" s="1"/>
      <c r="G396" s="1"/>
      <c r="H396" s="1"/>
      <c r="I396" s="1"/>
      <c r="J396" s="1"/>
      <c r="K396" s="1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8"/>
      <c r="E397" s="1"/>
      <c r="F397" s="1"/>
      <c r="G397" s="1"/>
      <c r="H397" s="1"/>
      <c r="I397" s="1"/>
      <c r="J397" s="1"/>
      <c r="K397" s="1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8"/>
      <c r="E398" s="1"/>
      <c r="F398" s="1"/>
      <c r="G398" s="1"/>
      <c r="H398" s="1"/>
      <c r="I398" s="1"/>
      <c r="J398" s="1"/>
      <c r="K398" s="1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8"/>
      <c r="E399" s="1"/>
      <c r="F399" s="1"/>
      <c r="G399" s="1"/>
      <c r="H399" s="1"/>
      <c r="I399" s="1"/>
      <c r="J399" s="1"/>
      <c r="K399" s="1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8"/>
      <c r="E400" s="1"/>
      <c r="F400" s="1"/>
      <c r="G400" s="1"/>
      <c r="H400" s="1"/>
      <c r="I400" s="1"/>
      <c r="J400" s="1"/>
      <c r="K400" s="1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8"/>
      <c r="E401" s="1"/>
      <c r="F401" s="1"/>
      <c r="G401" s="1"/>
      <c r="H401" s="1"/>
      <c r="I401" s="1"/>
      <c r="J401" s="1"/>
      <c r="K401" s="1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8"/>
      <c r="E402" s="1"/>
      <c r="F402" s="1"/>
      <c r="G402" s="1"/>
      <c r="H402" s="1"/>
      <c r="I402" s="1"/>
      <c r="J402" s="1"/>
      <c r="K402" s="1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8"/>
      <c r="E403" s="1"/>
      <c r="F403" s="1"/>
      <c r="G403" s="1"/>
      <c r="H403" s="1"/>
      <c r="I403" s="1"/>
      <c r="J403" s="1"/>
      <c r="K403" s="1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8"/>
      <c r="E404" s="1"/>
      <c r="F404" s="1"/>
      <c r="G404" s="1"/>
      <c r="H404" s="1"/>
      <c r="I404" s="1"/>
      <c r="J404" s="1"/>
      <c r="K404" s="1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8"/>
      <c r="E405" s="1"/>
      <c r="F405" s="1"/>
      <c r="G405" s="1"/>
      <c r="H405" s="1"/>
      <c r="I405" s="1"/>
      <c r="J405" s="1"/>
      <c r="K405" s="1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8"/>
      <c r="E406" s="1"/>
      <c r="F406" s="1"/>
      <c r="G406" s="1"/>
      <c r="H406" s="1"/>
      <c r="I406" s="1"/>
      <c r="J406" s="1"/>
      <c r="K406" s="1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8"/>
      <c r="E407" s="1"/>
      <c r="F407" s="1"/>
      <c r="G407" s="1"/>
      <c r="H407" s="1"/>
      <c r="I407" s="1"/>
      <c r="J407" s="1"/>
      <c r="K407" s="1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8"/>
      <c r="E408" s="1"/>
      <c r="F408" s="1"/>
      <c r="G408" s="1"/>
      <c r="H408" s="1"/>
      <c r="I408" s="1"/>
      <c r="J408" s="1"/>
      <c r="K408" s="1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8"/>
      <c r="E409" s="1"/>
      <c r="F409" s="1"/>
      <c r="G409" s="1"/>
      <c r="H409" s="1"/>
      <c r="I409" s="1"/>
      <c r="J409" s="1"/>
      <c r="K409" s="1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8"/>
      <c r="E410" s="1"/>
      <c r="F410" s="1"/>
      <c r="G410" s="1"/>
      <c r="H410" s="1"/>
      <c r="I410" s="1"/>
      <c r="J410" s="1"/>
      <c r="K410" s="1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8"/>
      <c r="E411" s="1"/>
      <c r="F411" s="1"/>
      <c r="G411" s="1"/>
      <c r="H411" s="1"/>
      <c r="I411" s="1"/>
      <c r="J411" s="1"/>
      <c r="K411" s="1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8"/>
      <c r="E412" s="1"/>
      <c r="F412" s="1"/>
      <c r="G412" s="1"/>
      <c r="H412" s="1"/>
      <c r="I412" s="1"/>
      <c r="J412" s="1"/>
      <c r="K412" s="1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8"/>
      <c r="E413" s="1"/>
      <c r="F413" s="1"/>
      <c r="G413" s="1"/>
      <c r="H413" s="1"/>
      <c r="I413" s="1"/>
      <c r="J413" s="1"/>
      <c r="K413" s="1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8"/>
      <c r="E414" s="1"/>
      <c r="F414" s="1"/>
      <c r="G414" s="1"/>
      <c r="H414" s="1"/>
      <c r="I414" s="1"/>
      <c r="J414" s="1"/>
      <c r="K414" s="1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8"/>
      <c r="E415" s="1"/>
      <c r="F415" s="1"/>
      <c r="G415" s="1"/>
      <c r="H415" s="1"/>
      <c r="I415" s="1"/>
      <c r="J415" s="1"/>
      <c r="K415" s="1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8"/>
      <c r="E416" s="1"/>
      <c r="F416" s="1"/>
      <c r="G416" s="1"/>
      <c r="H416" s="1"/>
      <c r="I416" s="1"/>
      <c r="J416" s="1"/>
      <c r="K416" s="1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8"/>
      <c r="E417" s="1"/>
      <c r="F417" s="1"/>
      <c r="G417" s="1"/>
      <c r="H417" s="1"/>
      <c r="I417" s="1"/>
      <c r="J417" s="1"/>
      <c r="K417" s="1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8"/>
      <c r="E418" s="1"/>
      <c r="F418" s="1"/>
      <c r="G418" s="1"/>
      <c r="H418" s="1"/>
      <c r="I418" s="1"/>
      <c r="J418" s="1"/>
      <c r="K418" s="1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8"/>
      <c r="E419" s="1"/>
      <c r="F419" s="1"/>
      <c r="G419" s="1"/>
      <c r="H419" s="1"/>
      <c r="I419" s="1"/>
      <c r="J419" s="1"/>
      <c r="K419" s="1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8"/>
      <c r="E420" s="1"/>
      <c r="F420" s="1"/>
      <c r="G420" s="1"/>
      <c r="H420" s="1"/>
      <c r="I420" s="1"/>
      <c r="J420" s="1"/>
      <c r="K420" s="1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8"/>
      <c r="E421" s="1"/>
      <c r="F421" s="1"/>
      <c r="G421" s="1"/>
      <c r="H421" s="1"/>
      <c r="I421" s="1"/>
      <c r="J421" s="1"/>
      <c r="K421" s="1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8"/>
      <c r="E422" s="1"/>
      <c r="F422" s="1"/>
      <c r="G422" s="1"/>
      <c r="H422" s="1"/>
      <c r="I422" s="1"/>
      <c r="J422" s="1"/>
      <c r="K422" s="1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8"/>
      <c r="E423" s="1"/>
      <c r="F423" s="1"/>
      <c r="G423" s="1"/>
      <c r="H423" s="1"/>
      <c r="I423" s="1"/>
      <c r="J423" s="1"/>
      <c r="K423" s="1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8"/>
      <c r="E424" s="1"/>
      <c r="F424" s="1"/>
      <c r="G424" s="1"/>
      <c r="H424" s="1"/>
      <c r="I424" s="1"/>
      <c r="J424" s="1"/>
      <c r="K424" s="1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8"/>
      <c r="E425" s="1"/>
      <c r="F425" s="1"/>
      <c r="G425" s="1"/>
      <c r="H425" s="1"/>
      <c r="I425" s="1"/>
      <c r="J425" s="1"/>
      <c r="K425" s="1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8"/>
      <c r="E426" s="1"/>
      <c r="F426" s="1"/>
      <c r="G426" s="1"/>
      <c r="H426" s="1"/>
      <c r="I426" s="1"/>
      <c r="J426" s="1"/>
      <c r="K426" s="1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8"/>
      <c r="E427" s="1"/>
      <c r="F427" s="1"/>
      <c r="G427" s="1"/>
      <c r="H427" s="1"/>
      <c r="I427" s="1"/>
      <c r="J427" s="1"/>
      <c r="K427" s="1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8"/>
      <c r="E428" s="1"/>
      <c r="F428" s="1"/>
      <c r="G428" s="1"/>
      <c r="H428" s="1"/>
      <c r="I428" s="1"/>
      <c r="J428" s="1"/>
      <c r="K428" s="1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8"/>
      <c r="E429" s="1"/>
      <c r="F429" s="1"/>
      <c r="G429" s="1"/>
      <c r="H429" s="1"/>
      <c r="I429" s="1"/>
      <c r="J429" s="1"/>
      <c r="K429" s="1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8"/>
      <c r="E430" s="1"/>
      <c r="F430" s="1"/>
      <c r="G430" s="1"/>
      <c r="H430" s="1"/>
      <c r="I430" s="1"/>
      <c r="J430" s="1"/>
      <c r="K430" s="1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8"/>
      <c r="E431" s="1"/>
      <c r="F431" s="1"/>
      <c r="G431" s="1"/>
      <c r="H431" s="1"/>
      <c r="I431" s="1"/>
      <c r="J431" s="1"/>
      <c r="K431" s="1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8"/>
      <c r="E432" s="1"/>
      <c r="F432" s="1"/>
      <c r="G432" s="1"/>
      <c r="H432" s="1"/>
      <c r="I432" s="1"/>
      <c r="J432" s="1"/>
      <c r="K432" s="1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8"/>
      <c r="E433" s="1"/>
      <c r="F433" s="1"/>
      <c r="G433" s="1"/>
      <c r="H433" s="1"/>
      <c r="I433" s="1"/>
      <c r="J433" s="1"/>
      <c r="K433" s="1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8"/>
      <c r="E434" s="1"/>
      <c r="F434" s="1"/>
      <c r="G434" s="1"/>
      <c r="H434" s="1"/>
      <c r="I434" s="1"/>
      <c r="J434" s="1"/>
      <c r="K434" s="1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8"/>
      <c r="E435" s="1"/>
      <c r="F435" s="1"/>
      <c r="G435" s="1"/>
      <c r="H435" s="1"/>
      <c r="I435" s="1"/>
      <c r="J435" s="1"/>
      <c r="K435" s="1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8"/>
      <c r="E436" s="1"/>
      <c r="F436" s="1"/>
      <c r="G436" s="1"/>
      <c r="H436" s="1"/>
      <c r="I436" s="1"/>
      <c r="J436" s="1"/>
      <c r="K436" s="1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8"/>
      <c r="E437" s="1"/>
      <c r="F437" s="1"/>
      <c r="G437" s="1"/>
      <c r="H437" s="1"/>
      <c r="I437" s="1"/>
      <c r="J437" s="1"/>
      <c r="K437" s="1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8"/>
      <c r="E438" s="1"/>
      <c r="F438" s="1"/>
      <c r="G438" s="1"/>
      <c r="H438" s="1"/>
      <c r="I438" s="1"/>
      <c r="J438" s="1"/>
      <c r="K438" s="1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8"/>
      <c r="E439" s="1"/>
      <c r="F439" s="1"/>
      <c r="G439" s="1"/>
      <c r="H439" s="1"/>
      <c r="I439" s="1"/>
      <c r="J439" s="1"/>
      <c r="K439" s="1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8"/>
      <c r="E440" s="1"/>
      <c r="F440" s="1"/>
      <c r="G440" s="1"/>
      <c r="H440" s="1"/>
      <c r="I440" s="1"/>
      <c r="J440" s="1"/>
      <c r="K440" s="1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8"/>
      <c r="E441" s="1"/>
      <c r="F441" s="1"/>
      <c r="G441" s="1"/>
      <c r="H441" s="1"/>
      <c r="I441" s="1"/>
      <c r="J441" s="1"/>
      <c r="K441" s="1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8"/>
      <c r="E442" s="1"/>
      <c r="F442" s="1"/>
      <c r="G442" s="1"/>
      <c r="H442" s="1"/>
      <c r="I442" s="1"/>
      <c r="J442" s="1"/>
      <c r="K442" s="1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8"/>
      <c r="E443" s="1"/>
      <c r="F443" s="1"/>
      <c r="G443" s="1"/>
      <c r="H443" s="1"/>
      <c r="I443" s="1"/>
      <c r="J443" s="1"/>
      <c r="K443" s="1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8"/>
      <c r="E444" s="1"/>
      <c r="F444" s="1"/>
      <c r="G444" s="1"/>
      <c r="H444" s="1"/>
      <c r="I444" s="1"/>
      <c r="J444" s="1"/>
      <c r="K444" s="1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8"/>
      <c r="E445" s="1"/>
      <c r="F445" s="1"/>
      <c r="G445" s="1"/>
      <c r="H445" s="1"/>
      <c r="I445" s="1"/>
      <c r="J445" s="1"/>
      <c r="K445" s="1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8"/>
      <c r="E446" s="1"/>
      <c r="F446" s="1"/>
      <c r="G446" s="1"/>
      <c r="H446" s="1"/>
      <c r="I446" s="1"/>
      <c r="J446" s="1"/>
      <c r="K446" s="1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8"/>
      <c r="E447" s="1"/>
      <c r="F447" s="1"/>
      <c r="G447" s="1"/>
      <c r="H447" s="1"/>
      <c r="I447" s="1"/>
      <c r="J447" s="1"/>
      <c r="K447" s="1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8"/>
      <c r="E448" s="1"/>
      <c r="F448" s="1"/>
      <c r="G448" s="1"/>
      <c r="H448" s="1"/>
      <c r="I448" s="1"/>
      <c r="J448" s="1"/>
      <c r="K448" s="1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8"/>
      <c r="E449" s="1"/>
      <c r="F449" s="1"/>
      <c r="G449" s="1"/>
      <c r="H449" s="1"/>
      <c r="I449" s="1"/>
      <c r="J449" s="1"/>
      <c r="K449" s="1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8"/>
      <c r="E450" s="1"/>
      <c r="F450" s="1"/>
      <c r="G450" s="1"/>
      <c r="H450" s="1"/>
      <c r="I450" s="1"/>
      <c r="J450" s="1"/>
      <c r="K450" s="1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8"/>
      <c r="E451" s="1"/>
      <c r="F451" s="1"/>
      <c r="G451" s="1"/>
      <c r="H451" s="1"/>
      <c r="I451" s="1"/>
      <c r="J451" s="1"/>
      <c r="K451" s="1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8"/>
      <c r="E452" s="1"/>
      <c r="F452" s="1"/>
      <c r="G452" s="1"/>
      <c r="H452" s="1"/>
      <c r="I452" s="1"/>
      <c r="J452" s="1"/>
      <c r="K452" s="1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8"/>
      <c r="E453" s="1"/>
      <c r="F453" s="1"/>
      <c r="G453" s="1"/>
      <c r="H453" s="1"/>
      <c r="I453" s="1"/>
      <c r="J453" s="1"/>
      <c r="K453" s="1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8"/>
      <c r="E454" s="1"/>
      <c r="F454" s="1"/>
      <c r="G454" s="1"/>
      <c r="H454" s="1"/>
      <c r="I454" s="1"/>
      <c r="J454" s="1"/>
      <c r="K454" s="1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8"/>
      <c r="E455" s="1"/>
      <c r="F455" s="1"/>
      <c r="G455" s="1"/>
      <c r="H455" s="1"/>
      <c r="I455" s="1"/>
      <c r="J455" s="1"/>
      <c r="K455" s="1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8"/>
      <c r="E456" s="1"/>
      <c r="F456" s="1"/>
      <c r="G456" s="1"/>
      <c r="H456" s="1"/>
      <c r="I456" s="1"/>
      <c r="J456" s="1"/>
      <c r="K456" s="1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8"/>
      <c r="E457" s="1"/>
      <c r="F457" s="1"/>
      <c r="G457" s="1"/>
      <c r="H457" s="1"/>
      <c r="I457" s="1"/>
      <c r="J457" s="1"/>
      <c r="K457" s="1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8"/>
      <c r="E458" s="1"/>
      <c r="F458" s="1"/>
      <c r="G458" s="1"/>
      <c r="H458" s="1"/>
      <c r="I458" s="1"/>
      <c r="J458" s="1"/>
      <c r="K458" s="1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8"/>
      <c r="E459" s="1"/>
      <c r="F459" s="1"/>
      <c r="G459" s="1"/>
      <c r="H459" s="1"/>
      <c r="I459" s="1"/>
      <c r="J459" s="1"/>
      <c r="K459" s="1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8"/>
      <c r="E460" s="1"/>
      <c r="F460" s="1"/>
      <c r="G460" s="1"/>
      <c r="H460" s="1"/>
      <c r="I460" s="1"/>
      <c r="J460" s="1"/>
      <c r="K460" s="1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8"/>
      <c r="E461" s="1"/>
      <c r="F461" s="1"/>
      <c r="G461" s="1"/>
      <c r="H461" s="1"/>
      <c r="I461" s="1"/>
      <c r="J461" s="1"/>
      <c r="K461" s="1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8"/>
      <c r="E462" s="1"/>
      <c r="F462" s="1"/>
      <c r="G462" s="1"/>
      <c r="H462" s="1"/>
      <c r="I462" s="1"/>
      <c r="J462" s="1"/>
      <c r="K462" s="1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8"/>
      <c r="E463" s="1"/>
      <c r="F463" s="1"/>
      <c r="G463" s="1"/>
      <c r="H463" s="1"/>
      <c r="I463" s="1"/>
      <c r="J463" s="1"/>
      <c r="K463" s="1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8"/>
      <c r="E464" s="1"/>
      <c r="F464" s="1"/>
      <c r="G464" s="1"/>
      <c r="H464" s="1"/>
      <c r="I464" s="1"/>
      <c r="J464" s="1"/>
      <c r="K464" s="1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8"/>
      <c r="E465" s="1"/>
      <c r="F465" s="1"/>
      <c r="G465" s="1"/>
      <c r="H465" s="1"/>
      <c r="I465" s="1"/>
      <c r="J465" s="1"/>
      <c r="K465" s="1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8"/>
      <c r="E466" s="1"/>
      <c r="F466" s="1"/>
      <c r="G466" s="1"/>
      <c r="H466" s="1"/>
      <c r="I466" s="1"/>
      <c r="J466" s="1"/>
      <c r="K466" s="1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8"/>
      <c r="E467" s="1"/>
      <c r="F467" s="1"/>
      <c r="G467" s="1"/>
      <c r="H467" s="1"/>
      <c r="I467" s="1"/>
      <c r="J467" s="1"/>
      <c r="K467" s="1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8"/>
      <c r="E468" s="1"/>
      <c r="F468" s="1"/>
      <c r="G468" s="1"/>
      <c r="H468" s="1"/>
      <c r="I468" s="1"/>
      <c r="J468" s="1"/>
      <c r="K468" s="1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8"/>
      <c r="E469" s="1"/>
      <c r="F469" s="1"/>
      <c r="G469" s="1"/>
      <c r="H469" s="1"/>
      <c r="I469" s="1"/>
      <c r="J469" s="1"/>
      <c r="K469" s="1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8"/>
      <c r="E470" s="1"/>
      <c r="F470" s="1"/>
      <c r="G470" s="1"/>
      <c r="H470" s="1"/>
      <c r="I470" s="1"/>
      <c r="J470" s="1"/>
      <c r="K470" s="1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8"/>
      <c r="E471" s="1"/>
      <c r="F471" s="1"/>
      <c r="G471" s="1"/>
      <c r="H471" s="1"/>
      <c r="I471" s="1"/>
      <c r="J471" s="1"/>
      <c r="K471" s="1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8"/>
      <c r="E472" s="1"/>
      <c r="F472" s="1"/>
      <c r="G472" s="1"/>
      <c r="H472" s="1"/>
      <c r="I472" s="1"/>
      <c r="J472" s="1"/>
      <c r="K472" s="1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8"/>
      <c r="E473" s="1"/>
      <c r="F473" s="1"/>
      <c r="G473" s="1"/>
      <c r="H473" s="1"/>
      <c r="I473" s="1"/>
      <c r="J473" s="1"/>
      <c r="K473" s="1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8"/>
      <c r="E474" s="1"/>
      <c r="F474" s="1"/>
      <c r="G474" s="1"/>
      <c r="H474" s="1"/>
      <c r="I474" s="1"/>
      <c r="J474" s="1"/>
      <c r="K474" s="1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8"/>
      <c r="E475" s="1"/>
      <c r="F475" s="1"/>
      <c r="G475" s="1"/>
      <c r="H475" s="1"/>
      <c r="I475" s="1"/>
      <c r="J475" s="1"/>
      <c r="K475" s="1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8"/>
      <c r="E476" s="1"/>
      <c r="F476" s="1"/>
      <c r="G476" s="1"/>
      <c r="H476" s="1"/>
      <c r="I476" s="1"/>
      <c r="J476" s="1"/>
      <c r="K476" s="1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8"/>
      <c r="E477" s="1"/>
      <c r="F477" s="1"/>
      <c r="G477" s="1"/>
      <c r="H477" s="1"/>
      <c r="I477" s="1"/>
      <c r="J477" s="1"/>
      <c r="K477" s="1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8"/>
      <c r="E478" s="1"/>
      <c r="F478" s="1"/>
      <c r="G478" s="1"/>
      <c r="H478" s="1"/>
      <c r="I478" s="1"/>
      <c r="J478" s="1"/>
      <c r="K478" s="1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8"/>
      <c r="E479" s="1"/>
      <c r="F479" s="1"/>
      <c r="G479" s="1"/>
      <c r="H479" s="1"/>
      <c r="I479" s="1"/>
      <c r="J479" s="1"/>
      <c r="K479" s="1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8"/>
      <c r="E480" s="1"/>
      <c r="F480" s="1"/>
      <c r="G480" s="1"/>
      <c r="H480" s="1"/>
      <c r="I480" s="1"/>
      <c r="J480" s="1"/>
      <c r="K480" s="1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8"/>
      <c r="E481" s="1"/>
      <c r="F481" s="1"/>
      <c r="G481" s="1"/>
      <c r="H481" s="1"/>
      <c r="I481" s="1"/>
      <c r="J481" s="1"/>
      <c r="K481" s="1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8"/>
      <c r="E482" s="1"/>
      <c r="F482" s="1"/>
      <c r="G482" s="1"/>
      <c r="H482" s="1"/>
      <c r="I482" s="1"/>
      <c r="J482" s="1"/>
      <c r="K482" s="1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8"/>
      <c r="E483" s="1"/>
      <c r="F483" s="1"/>
      <c r="G483" s="1"/>
      <c r="H483" s="1"/>
      <c r="I483" s="1"/>
      <c r="J483" s="1"/>
      <c r="K483" s="1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8"/>
      <c r="E484" s="1"/>
      <c r="F484" s="1"/>
      <c r="G484" s="1"/>
      <c r="H484" s="1"/>
      <c r="I484" s="1"/>
      <c r="J484" s="1"/>
      <c r="K484" s="1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8"/>
      <c r="E485" s="1"/>
      <c r="F485" s="1"/>
      <c r="G485" s="1"/>
      <c r="H485" s="1"/>
      <c r="I485" s="1"/>
      <c r="J485" s="1"/>
      <c r="K485" s="1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8"/>
      <c r="E486" s="1"/>
      <c r="F486" s="1"/>
      <c r="G486" s="1"/>
      <c r="H486" s="1"/>
      <c r="I486" s="1"/>
      <c r="J486" s="1"/>
      <c r="K486" s="1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8"/>
      <c r="E487" s="1"/>
      <c r="F487" s="1"/>
      <c r="G487" s="1"/>
      <c r="H487" s="1"/>
      <c r="I487" s="1"/>
      <c r="J487" s="1"/>
      <c r="K487" s="1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8"/>
      <c r="E488" s="1"/>
      <c r="F488" s="1"/>
      <c r="G488" s="1"/>
      <c r="H488" s="1"/>
      <c r="I488" s="1"/>
      <c r="J488" s="1"/>
      <c r="K488" s="1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8"/>
      <c r="E489" s="1"/>
      <c r="F489" s="1"/>
      <c r="G489" s="1"/>
      <c r="H489" s="1"/>
      <c r="I489" s="1"/>
      <c r="J489" s="1"/>
      <c r="K489" s="1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8"/>
      <c r="E490" s="1"/>
      <c r="F490" s="1"/>
      <c r="G490" s="1"/>
      <c r="H490" s="1"/>
      <c r="I490" s="1"/>
      <c r="J490" s="1"/>
      <c r="K490" s="1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8"/>
      <c r="E491" s="1"/>
      <c r="F491" s="1"/>
      <c r="G491" s="1"/>
      <c r="H491" s="1"/>
      <c r="I491" s="1"/>
      <c r="J491" s="1"/>
      <c r="K491" s="1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8"/>
      <c r="E492" s="1"/>
      <c r="F492" s="1"/>
      <c r="G492" s="1"/>
      <c r="H492" s="1"/>
      <c r="I492" s="1"/>
      <c r="J492" s="1"/>
      <c r="K492" s="1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8"/>
      <c r="E493" s="1"/>
      <c r="F493" s="1"/>
      <c r="G493" s="1"/>
      <c r="H493" s="1"/>
      <c r="I493" s="1"/>
      <c r="J493" s="1"/>
      <c r="K493" s="1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8"/>
      <c r="E494" s="1"/>
      <c r="F494" s="1"/>
      <c r="G494" s="1"/>
      <c r="H494" s="1"/>
      <c r="I494" s="1"/>
      <c r="J494" s="1"/>
      <c r="K494" s="1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8"/>
      <c r="E495" s="1"/>
      <c r="F495" s="1"/>
      <c r="G495" s="1"/>
      <c r="H495" s="1"/>
      <c r="I495" s="1"/>
      <c r="J495" s="1"/>
      <c r="K495" s="1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8"/>
      <c r="E496" s="1"/>
      <c r="F496" s="1"/>
      <c r="G496" s="1"/>
      <c r="H496" s="1"/>
      <c r="I496" s="1"/>
      <c r="J496" s="1"/>
      <c r="K496" s="1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8"/>
      <c r="E497" s="1"/>
      <c r="F497" s="1"/>
      <c r="G497" s="1"/>
      <c r="H497" s="1"/>
      <c r="I497" s="1"/>
      <c r="J497" s="1"/>
      <c r="K497" s="1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8"/>
      <c r="E498" s="1"/>
      <c r="F498" s="1"/>
      <c r="G498" s="1"/>
      <c r="H498" s="1"/>
      <c r="I498" s="1"/>
      <c r="J498" s="1"/>
      <c r="K498" s="1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8"/>
      <c r="E499" s="1"/>
      <c r="F499" s="1"/>
      <c r="G499" s="1"/>
      <c r="H499" s="1"/>
      <c r="I499" s="1"/>
      <c r="J499" s="1"/>
      <c r="K499" s="1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8"/>
      <c r="E500" s="1"/>
      <c r="F500" s="1"/>
      <c r="G500" s="1"/>
      <c r="H500" s="1"/>
      <c r="I500" s="1"/>
      <c r="J500" s="1"/>
      <c r="K500" s="1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8"/>
      <c r="E501" s="1"/>
      <c r="F501" s="1"/>
      <c r="G501" s="1"/>
      <c r="H501" s="1"/>
      <c r="I501" s="1"/>
      <c r="J501" s="1"/>
      <c r="K501" s="1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8"/>
      <c r="E502" s="1"/>
      <c r="F502" s="1"/>
      <c r="G502" s="1"/>
      <c r="H502" s="1"/>
      <c r="I502" s="1"/>
      <c r="J502" s="1"/>
      <c r="K502" s="1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8"/>
      <c r="E503" s="1"/>
      <c r="F503" s="1"/>
      <c r="G503" s="1"/>
      <c r="H503" s="1"/>
      <c r="I503" s="1"/>
      <c r="J503" s="1"/>
      <c r="K503" s="1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8"/>
      <c r="E504" s="1"/>
      <c r="F504" s="1"/>
      <c r="G504" s="1"/>
      <c r="H504" s="1"/>
      <c r="I504" s="1"/>
      <c r="J504" s="1"/>
      <c r="K504" s="1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8"/>
      <c r="E505" s="1"/>
      <c r="F505" s="1"/>
      <c r="G505" s="1"/>
      <c r="H505" s="1"/>
      <c r="I505" s="1"/>
      <c r="J505" s="1"/>
      <c r="K505" s="1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8"/>
      <c r="E506" s="1"/>
      <c r="F506" s="1"/>
      <c r="G506" s="1"/>
      <c r="H506" s="1"/>
      <c r="I506" s="1"/>
      <c r="J506" s="1"/>
      <c r="K506" s="1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8"/>
      <c r="E507" s="1"/>
      <c r="F507" s="1"/>
      <c r="G507" s="1"/>
      <c r="H507" s="1"/>
      <c r="I507" s="1"/>
      <c r="J507" s="1"/>
      <c r="K507" s="1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8"/>
      <c r="E508" s="1"/>
      <c r="F508" s="1"/>
      <c r="G508" s="1"/>
      <c r="H508" s="1"/>
      <c r="I508" s="1"/>
      <c r="J508" s="1"/>
      <c r="K508" s="1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8"/>
      <c r="E509" s="1"/>
      <c r="F509" s="1"/>
      <c r="G509" s="1"/>
      <c r="H509" s="1"/>
      <c r="I509" s="1"/>
      <c r="J509" s="1"/>
      <c r="K509" s="1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8"/>
      <c r="E510" s="1"/>
      <c r="F510" s="1"/>
      <c r="G510" s="1"/>
      <c r="H510" s="1"/>
      <c r="I510" s="1"/>
      <c r="J510" s="1"/>
      <c r="K510" s="1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8"/>
      <c r="E511" s="1"/>
      <c r="F511" s="1"/>
      <c r="G511" s="1"/>
      <c r="H511" s="1"/>
      <c r="I511" s="1"/>
      <c r="J511" s="1"/>
      <c r="K511" s="1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8"/>
      <c r="E512" s="1"/>
      <c r="F512" s="1"/>
      <c r="G512" s="1"/>
      <c r="H512" s="1"/>
      <c r="I512" s="1"/>
      <c r="J512" s="1"/>
      <c r="K512" s="1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8"/>
      <c r="E513" s="1"/>
      <c r="F513" s="1"/>
      <c r="G513" s="1"/>
      <c r="H513" s="1"/>
      <c r="I513" s="1"/>
      <c r="J513" s="1"/>
      <c r="K513" s="1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8"/>
      <c r="E514" s="1"/>
      <c r="F514" s="1"/>
      <c r="G514" s="1"/>
      <c r="H514" s="1"/>
      <c r="I514" s="1"/>
      <c r="J514" s="1"/>
      <c r="K514" s="1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8"/>
      <c r="E515" s="1"/>
      <c r="F515" s="1"/>
      <c r="G515" s="1"/>
      <c r="H515" s="1"/>
      <c r="I515" s="1"/>
      <c r="J515" s="1"/>
      <c r="K515" s="1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8"/>
      <c r="E516" s="1"/>
      <c r="F516" s="1"/>
      <c r="G516" s="1"/>
      <c r="H516" s="1"/>
      <c r="I516" s="1"/>
      <c r="J516" s="1"/>
      <c r="K516" s="1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8"/>
      <c r="E517" s="1"/>
      <c r="F517" s="1"/>
      <c r="G517" s="1"/>
      <c r="H517" s="1"/>
      <c r="I517" s="1"/>
      <c r="J517" s="1"/>
      <c r="K517" s="1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8"/>
      <c r="E518" s="1"/>
      <c r="F518" s="1"/>
      <c r="G518" s="1"/>
      <c r="H518" s="1"/>
      <c r="I518" s="1"/>
      <c r="J518" s="1"/>
      <c r="K518" s="1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8"/>
      <c r="E519" s="1"/>
      <c r="F519" s="1"/>
      <c r="G519" s="1"/>
      <c r="H519" s="1"/>
      <c r="I519" s="1"/>
      <c r="J519" s="1"/>
      <c r="K519" s="1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8"/>
      <c r="E520" s="1"/>
      <c r="F520" s="1"/>
      <c r="G520" s="1"/>
      <c r="H520" s="1"/>
      <c r="I520" s="1"/>
      <c r="J520" s="1"/>
      <c r="K520" s="1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8"/>
      <c r="E521" s="1"/>
      <c r="F521" s="1"/>
      <c r="G521" s="1"/>
      <c r="H521" s="1"/>
      <c r="I521" s="1"/>
      <c r="J521" s="1"/>
      <c r="K521" s="1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8"/>
      <c r="E522" s="1"/>
      <c r="F522" s="1"/>
      <c r="G522" s="1"/>
      <c r="H522" s="1"/>
      <c r="I522" s="1"/>
      <c r="J522" s="1"/>
      <c r="K522" s="1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8"/>
      <c r="E523" s="1"/>
      <c r="F523" s="1"/>
      <c r="G523" s="1"/>
      <c r="H523" s="1"/>
      <c r="I523" s="1"/>
      <c r="J523" s="1"/>
      <c r="K523" s="1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8"/>
      <c r="E524" s="1"/>
      <c r="F524" s="1"/>
      <c r="G524" s="1"/>
      <c r="H524" s="1"/>
      <c r="I524" s="1"/>
      <c r="J524" s="1"/>
      <c r="K524" s="1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8"/>
      <c r="E525" s="1"/>
      <c r="F525" s="1"/>
      <c r="G525" s="1"/>
      <c r="H525" s="1"/>
      <c r="I525" s="1"/>
      <c r="J525" s="1"/>
      <c r="K525" s="1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8"/>
      <c r="E526" s="1"/>
      <c r="F526" s="1"/>
      <c r="G526" s="1"/>
      <c r="H526" s="1"/>
      <c r="I526" s="1"/>
      <c r="J526" s="1"/>
      <c r="K526" s="1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8"/>
      <c r="E527" s="1"/>
      <c r="F527" s="1"/>
      <c r="G527" s="1"/>
      <c r="H527" s="1"/>
      <c r="I527" s="1"/>
      <c r="J527" s="1"/>
      <c r="K527" s="1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8"/>
      <c r="E528" s="1"/>
      <c r="F528" s="1"/>
      <c r="G528" s="1"/>
      <c r="H528" s="1"/>
      <c r="I528" s="1"/>
      <c r="J528" s="1"/>
      <c r="K528" s="1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8"/>
      <c r="E529" s="1"/>
      <c r="F529" s="1"/>
      <c r="G529" s="1"/>
      <c r="H529" s="1"/>
      <c r="I529" s="1"/>
      <c r="J529" s="1"/>
      <c r="K529" s="1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8"/>
      <c r="E530" s="1"/>
      <c r="F530" s="1"/>
      <c r="G530" s="1"/>
      <c r="H530" s="1"/>
      <c r="I530" s="1"/>
      <c r="J530" s="1"/>
      <c r="K530" s="1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8"/>
      <c r="E531" s="1"/>
      <c r="F531" s="1"/>
      <c r="G531" s="1"/>
      <c r="H531" s="1"/>
      <c r="I531" s="1"/>
      <c r="J531" s="1"/>
      <c r="K531" s="1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8"/>
      <c r="E532" s="1"/>
      <c r="F532" s="1"/>
      <c r="G532" s="1"/>
      <c r="H532" s="1"/>
      <c r="I532" s="1"/>
      <c r="J532" s="1"/>
      <c r="K532" s="1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8"/>
      <c r="E533" s="1"/>
      <c r="F533" s="1"/>
      <c r="G533" s="1"/>
      <c r="H533" s="1"/>
      <c r="I533" s="1"/>
      <c r="J533" s="1"/>
      <c r="K533" s="1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8"/>
      <c r="E534" s="1"/>
      <c r="F534" s="1"/>
      <c r="G534" s="1"/>
      <c r="H534" s="1"/>
      <c r="I534" s="1"/>
      <c r="J534" s="1"/>
      <c r="K534" s="1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8"/>
      <c r="E535" s="1"/>
      <c r="F535" s="1"/>
      <c r="G535" s="1"/>
      <c r="H535" s="1"/>
      <c r="I535" s="1"/>
      <c r="J535" s="1"/>
      <c r="K535" s="1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8"/>
      <c r="E536" s="1"/>
      <c r="F536" s="1"/>
      <c r="G536" s="1"/>
      <c r="H536" s="1"/>
      <c r="I536" s="1"/>
      <c r="J536" s="1"/>
      <c r="K536" s="1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8"/>
      <c r="E537" s="1"/>
      <c r="F537" s="1"/>
      <c r="G537" s="1"/>
      <c r="H537" s="1"/>
      <c r="I537" s="1"/>
      <c r="J537" s="1"/>
      <c r="K537" s="1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8"/>
      <c r="E538" s="1"/>
      <c r="F538" s="1"/>
      <c r="G538" s="1"/>
      <c r="H538" s="1"/>
      <c r="I538" s="1"/>
      <c r="J538" s="1"/>
      <c r="K538" s="1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8"/>
      <c r="E539" s="1"/>
      <c r="F539" s="1"/>
      <c r="G539" s="1"/>
      <c r="H539" s="1"/>
      <c r="I539" s="1"/>
      <c r="J539" s="1"/>
      <c r="K539" s="1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8"/>
      <c r="E540" s="1"/>
      <c r="F540" s="1"/>
      <c r="G540" s="1"/>
      <c r="H540" s="1"/>
      <c r="I540" s="1"/>
      <c r="J540" s="1"/>
      <c r="K540" s="1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8"/>
      <c r="E541" s="1"/>
      <c r="F541" s="1"/>
      <c r="G541" s="1"/>
      <c r="H541" s="1"/>
      <c r="I541" s="1"/>
      <c r="J541" s="1"/>
      <c r="K541" s="1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8"/>
      <c r="E542" s="1"/>
      <c r="F542" s="1"/>
      <c r="G542" s="1"/>
      <c r="H542" s="1"/>
      <c r="I542" s="1"/>
      <c r="J542" s="1"/>
      <c r="K542" s="1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8"/>
      <c r="E543" s="1"/>
      <c r="F543" s="1"/>
      <c r="G543" s="1"/>
      <c r="H543" s="1"/>
      <c r="I543" s="1"/>
      <c r="J543" s="1"/>
      <c r="K543" s="1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8"/>
      <c r="E544" s="1"/>
      <c r="F544" s="1"/>
      <c r="G544" s="1"/>
      <c r="H544" s="1"/>
      <c r="I544" s="1"/>
      <c r="J544" s="1"/>
      <c r="K544" s="1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8"/>
      <c r="E545" s="1"/>
      <c r="F545" s="1"/>
      <c r="G545" s="1"/>
      <c r="H545" s="1"/>
      <c r="I545" s="1"/>
      <c r="J545" s="1"/>
      <c r="K545" s="1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8"/>
      <c r="E546" s="1"/>
      <c r="F546" s="1"/>
      <c r="G546" s="1"/>
      <c r="H546" s="1"/>
      <c r="I546" s="1"/>
      <c r="J546" s="1"/>
      <c r="K546" s="1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8"/>
      <c r="E547" s="1"/>
      <c r="F547" s="1"/>
      <c r="G547" s="1"/>
      <c r="H547" s="1"/>
      <c r="I547" s="1"/>
      <c r="J547" s="1"/>
      <c r="K547" s="1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8"/>
      <c r="E548" s="1"/>
      <c r="F548" s="1"/>
      <c r="G548" s="1"/>
      <c r="H548" s="1"/>
      <c r="I548" s="1"/>
      <c r="J548" s="1"/>
      <c r="K548" s="1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8"/>
      <c r="E549" s="1"/>
      <c r="F549" s="1"/>
      <c r="G549" s="1"/>
      <c r="H549" s="1"/>
      <c r="I549" s="1"/>
      <c r="J549" s="1"/>
      <c r="K549" s="1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8"/>
      <c r="E550" s="1"/>
      <c r="F550" s="1"/>
      <c r="G550" s="1"/>
      <c r="H550" s="1"/>
      <c r="I550" s="1"/>
      <c r="J550" s="1"/>
      <c r="K550" s="1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8"/>
      <c r="E551" s="1"/>
      <c r="F551" s="1"/>
      <c r="G551" s="1"/>
      <c r="H551" s="1"/>
      <c r="I551" s="1"/>
      <c r="J551" s="1"/>
      <c r="K551" s="1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8"/>
      <c r="E552" s="1"/>
      <c r="F552" s="1"/>
      <c r="G552" s="1"/>
      <c r="H552" s="1"/>
      <c r="I552" s="1"/>
      <c r="J552" s="1"/>
      <c r="K552" s="1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8"/>
      <c r="E553" s="1"/>
      <c r="F553" s="1"/>
      <c r="G553" s="1"/>
      <c r="H553" s="1"/>
      <c r="I553" s="1"/>
      <c r="J553" s="1"/>
      <c r="K553" s="1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8"/>
      <c r="E554" s="1"/>
      <c r="F554" s="1"/>
      <c r="G554" s="1"/>
      <c r="H554" s="1"/>
      <c r="I554" s="1"/>
      <c r="J554" s="1"/>
      <c r="K554" s="1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8"/>
      <c r="E555" s="1"/>
      <c r="F555" s="1"/>
      <c r="G555" s="1"/>
      <c r="H555" s="1"/>
      <c r="I555" s="1"/>
      <c r="J555" s="1"/>
      <c r="K555" s="1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8"/>
      <c r="E556" s="1"/>
      <c r="F556" s="1"/>
      <c r="G556" s="1"/>
      <c r="H556" s="1"/>
      <c r="I556" s="1"/>
      <c r="J556" s="1"/>
      <c r="K556" s="1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8"/>
      <c r="E557" s="1"/>
      <c r="F557" s="1"/>
      <c r="G557" s="1"/>
      <c r="H557" s="1"/>
      <c r="I557" s="1"/>
      <c r="J557" s="1"/>
      <c r="K557" s="1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8"/>
      <c r="E558" s="1"/>
      <c r="F558" s="1"/>
      <c r="G558" s="1"/>
      <c r="H558" s="1"/>
      <c r="I558" s="1"/>
      <c r="J558" s="1"/>
      <c r="K558" s="1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8"/>
      <c r="E559" s="1"/>
      <c r="F559" s="1"/>
      <c r="G559" s="1"/>
      <c r="H559" s="1"/>
      <c r="I559" s="1"/>
      <c r="J559" s="1"/>
      <c r="K559" s="1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8"/>
      <c r="E560" s="1"/>
      <c r="F560" s="1"/>
      <c r="G560" s="1"/>
      <c r="H560" s="1"/>
      <c r="I560" s="1"/>
      <c r="J560" s="1"/>
      <c r="K560" s="1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8"/>
      <c r="E561" s="1"/>
      <c r="F561" s="1"/>
      <c r="G561" s="1"/>
      <c r="H561" s="1"/>
      <c r="I561" s="1"/>
      <c r="J561" s="1"/>
      <c r="K561" s="1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8"/>
      <c r="E562" s="1"/>
      <c r="F562" s="1"/>
      <c r="G562" s="1"/>
      <c r="H562" s="1"/>
      <c r="I562" s="1"/>
      <c r="J562" s="1"/>
      <c r="K562" s="1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8"/>
      <c r="E563" s="1"/>
      <c r="F563" s="1"/>
      <c r="G563" s="1"/>
      <c r="H563" s="1"/>
      <c r="I563" s="1"/>
      <c r="J563" s="1"/>
      <c r="K563" s="1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8"/>
      <c r="E564" s="1"/>
      <c r="F564" s="1"/>
      <c r="G564" s="1"/>
      <c r="H564" s="1"/>
      <c r="I564" s="1"/>
      <c r="J564" s="1"/>
      <c r="K564" s="1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8"/>
      <c r="E565" s="1"/>
      <c r="F565" s="1"/>
      <c r="G565" s="1"/>
      <c r="H565" s="1"/>
      <c r="I565" s="1"/>
      <c r="J565" s="1"/>
      <c r="K565" s="1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8"/>
      <c r="E566" s="1"/>
      <c r="F566" s="1"/>
      <c r="G566" s="1"/>
      <c r="H566" s="1"/>
      <c r="I566" s="1"/>
      <c r="J566" s="1"/>
      <c r="K566" s="1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8"/>
      <c r="E567" s="1"/>
      <c r="F567" s="1"/>
      <c r="G567" s="1"/>
      <c r="H567" s="1"/>
      <c r="I567" s="1"/>
      <c r="J567" s="1"/>
      <c r="K567" s="1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8"/>
      <c r="E568" s="1"/>
      <c r="F568" s="1"/>
      <c r="G568" s="1"/>
      <c r="H568" s="1"/>
      <c r="I568" s="1"/>
      <c r="J568" s="1"/>
      <c r="K568" s="1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8"/>
      <c r="E569" s="1"/>
      <c r="F569" s="1"/>
      <c r="G569" s="1"/>
      <c r="H569" s="1"/>
      <c r="I569" s="1"/>
      <c r="J569" s="1"/>
      <c r="K569" s="1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8"/>
      <c r="E570" s="1"/>
      <c r="F570" s="1"/>
      <c r="G570" s="1"/>
      <c r="H570" s="1"/>
      <c r="I570" s="1"/>
      <c r="J570" s="1"/>
      <c r="K570" s="1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8"/>
      <c r="E571" s="1"/>
      <c r="F571" s="1"/>
      <c r="G571" s="1"/>
      <c r="H571" s="1"/>
      <c r="I571" s="1"/>
      <c r="J571" s="1"/>
      <c r="K571" s="1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8"/>
      <c r="E572" s="1"/>
      <c r="F572" s="1"/>
      <c r="G572" s="1"/>
      <c r="H572" s="1"/>
      <c r="I572" s="1"/>
      <c r="J572" s="1"/>
      <c r="K572" s="1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8"/>
      <c r="E573" s="1"/>
      <c r="F573" s="1"/>
      <c r="G573" s="1"/>
      <c r="H573" s="1"/>
      <c r="I573" s="1"/>
      <c r="J573" s="1"/>
      <c r="K573" s="1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8"/>
      <c r="E574" s="1"/>
      <c r="F574" s="1"/>
      <c r="G574" s="1"/>
      <c r="H574" s="1"/>
      <c r="I574" s="1"/>
      <c r="J574" s="1"/>
      <c r="K574" s="1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8"/>
      <c r="E575" s="1"/>
      <c r="F575" s="1"/>
      <c r="G575" s="1"/>
      <c r="H575" s="1"/>
      <c r="I575" s="1"/>
      <c r="J575" s="1"/>
      <c r="K575" s="1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8"/>
      <c r="E576" s="1"/>
      <c r="F576" s="1"/>
      <c r="G576" s="1"/>
      <c r="H576" s="1"/>
      <c r="I576" s="1"/>
      <c r="J576" s="1"/>
      <c r="K576" s="1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8"/>
      <c r="E577" s="1"/>
      <c r="F577" s="1"/>
      <c r="G577" s="1"/>
      <c r="H577" s="1"/>
      <c r="I577" s="1"/>
      <c r="J577" s="1"/>
      <c r="K577" s="1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8"/>
      <c r="E578" s="1"/>
      <c r="F578" s="1"/>
      <c r="G578" s="1"/>
      <c r="H578" s="1"/>
      <c r="I578" s="1"/>
      <c r="J578" s="1"/>
      <c r="K578" s="1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8"/>
      <c r="E579" s="1"/>
      <c r="F579" s="1"/>
      <c r="G579" s="1"/>
      <c r="H579" s="1"/>
      <c r="I579" s="1"/>
      <c r="J579" s="1"/>
      <c r="K579" s="1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8"/>
      <c r="E580" s="1"/>
      <c r="F580" s="1"/>
      <c r="G580" s="1"/>
      <c r="H580" s="1"/>
      <c r="I580" s="1"/>
      <c r="J580" s="1"/>
      <c r="K580" s="1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8"/>
      <c r="E581" s="1"/>
      <c r="F581" s="1"/>
      <c r="G581" s="1"/>
      <c r="H581" s="1"/>
      <c r="I581" s="1"/>
      <c r="J581" s="1"/>
      <c r="K581" s="1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8"/>
      <c r="E582" s="1"/>
      <c r="F582" s="1"/>
      <c r="G582" s="1"/>
      <c r="H582" s="1"/>
      <c r="I582" s="1"/>
      <c r="J582" s="1"/>
      <c r="K582" s="1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8"/>
      <c r="E583" s="1"/>
      <c r="F583" s="1"/>
      <c r="G583" s="1"/>
      <c r="H583" s="1"/>
      <c r="I583" s="1"/>
      <c r="J583" s="1"/>
      <c r="K583" s="1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8"/>
      <c r="E584" s="1"/>
      <c r="F584" s="1"/>
      <c r="G584" s="1"/>
      <c r="H584" s="1"/>
      <c r="I584" s="1"/>
      <c r="J584" s="1"/>
      <c r="K584" s="1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8"/>
      <c r="E585" s="1"/>
      <c r="F585" s="1"/>
      <c r="G585" s="1"/>
      <c r="H585" s="1"/>
      <c r="I585" s="1"/>
      <c r="J585" s="1"/>
      <c r="K585" s="1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8"/>
      <c r="E586" s="1"/>
      <c r="F586" s="1"/>
      <c r="G586" s="1"/>
      <c r="H586" s="1"/>
      <c r="I586" s="1"/>
      <c r="J586" s="1"/>
      <c r="K586" s="1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8"/>
      <c r="E587" s="1"/>
      <c r="F587" s="1"/>
      <c r="G587" s="1"/>
      <c r="H587" s="1"/>
      <c r="I587" s="1"/>
      <c r="J587" s="1"/>
      <c r="K587" s="1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8"/>
      <c r="E588" s="1"/>
      <c r="F588" s="1"/>
      <c r="G588" s="1"/>
      <c r="H588" s="1"/>
      <c r="I588" s="1"/>
      <c r="J588" s="1"/>
      <c r="K588" s="1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8"/>
      <c r="E589" s="1"/>
      <c r="F589" s="1"/>
      <c r="G589" s="1"/>
      <c r="H589" s="1"/>
      <c r="I589" s="1"/>
      <c r="J589" s="1"/>
      <c r="K589" s="1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8"/>
      <c r="E590" s="1"/>
      <c r="F590" s="1"/>
      <c r="G590" s="1"/>
      <c r="H590" s="1"/>
      <c r="I590" s="1"/>
      <c r="J590" s="1"/>
      <c r="K590" s="1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8"/>
      <c r="E591" s="1"/>
      <c r="F591" s="1"/>
      <c r="G591" s="1"/>
      <c r="H591" s="1"/>
      <c r="I591" s="1"/>
      <c r="J591" s="1"/>
      <c r="K591" s="1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8"/>
      <c r="E592" s="1"/>
      <c r="F592" s="1"/>
      <c r="G592" s="1"/>
      <c r="H592" s="1"/>
      <c r="I592" s="1"/>
      <c r="J592" s="1"/>
      <c r="K592" s="1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8"/>
      <c r="E593" s="1"/>
      <c r="F593" s="1"/>
      <c r="G593" s="1"/>
      <c r="H593" s="1"/>
      <c r="I593" s="1"/>
      <c r="J593" s="1"/>
      <c r="K593" s="1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8"/>
      <c r="E594" s="1"/>
      <c r="F594" s="1"/>
      <c r="G594" s="1"/>
      <c r="H594" s="1"/>
      <c r="I594" s="1"/>
      <c r="J594" s="1"/>
      <c r="K594" s="1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8"/>
      <c r="E595" s="1"/>
      <c r="F595" s="1"/>
      <c r="G595" s="1"/>
      <c r="H595" s="1"/>
      <c r="I595" s="1"/>
      <c r="J595" s="1"/>
      <c r="K595" s="1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8"/>
      <c r="E596" s="1"/>
      <c r="F596" s="1"/>
      <c r="G596" s="1"/>
      <c r="H596" s="1"/>
      <c r="I596" s="1"/>
      <c r="J596" s="1"/>
      <c r="K596" s="1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8"/>
      <c r="E597" s="1"/>
      <c r="F597" s="1"/>
      <c r="G597" s="1"/>
      <c r="H597" s="1"/>
      <c r="I597" s="1"/>
      <c r="J597" s="1"/>
      <c r="K597" s="1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8"/>
      <c r="E598" s="1"/>
      <c r="F598" s="1"/>
      <c r="G598" s="1"/>
      <c r="H598" s="1"/>
      <c r="I598" s="1"/>
      <c r="J598" s="1"/>
      <c r="K598" s="1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8"/>
      <c r="E599" s="1"/>
      <c r="F599" s="1"/>
      <c r="G599" s="1"/>
      <c r="H599" s="1"/>
      <c r="I599" s="1"/>
      <c r="J599" s="1"/>
      <c r="K599" s="1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8"/>
      <c r="E600" s="1"/>
      <c r="F600" s="1"/>
      <c r="G600" s="1"/>
      <c r="H600" s="1"/>
      <c r="I600" s="1"/>
      <c r="J600" s="1"/>
      <c r="K600" s="1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8"/>
      <c r="E601" s="1"/>
      <c r="F601" s="1"/>
      <c r="G601" s="1"/>
      <c r="H601" s="1"/>
      <c r="I601" s="1"/>
      <c r="J601" s="1"/>
      <c r="K601" s="1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8"/>
      <c r="E602" s="1"/>
      <c r="F602" s="1"/>
      <c r="G602" s="1"/>
      <c r="H602" s="1"/>
      <c r="I602" s="1"/>
      <c r="J602" s="1"/>
      <c r="K602" s="1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8"/>
      <c r="E603" s="1"/>
      <c r="F603" s="1"/>
      <c r="G603" s="1"/>
      <c r="H603" s="1"/>
      <c r="I603" s="1"/>
      <c r="J603" s="1"/>
      <c r="K603" s="1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8"/>
      <c r="E604" s="1"/>
      <c r="F604" s="1"/>
      <c r="G604" s="1"/>
      <c r="H604" s="1"/>
      <c r="I604" s="1"/>
      <c r="J604" s="1"/>
      <c r="K604" s="1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8"/>
      <c r="E605" s="1"/>
      <c r="F605" s="1"/>
      <c r="G605" s="1"/>
      <c r="H605" s="1"/>
      <c r="I605" s="1"/>
      <c r="J605" s="1"/>
      <c r="K605" s="1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8"/>
      <c r="E606" s="1"/>
      <c r="F606" s="1"/>
      <c r="G606" s="1"/>
      <c r="H606" s="1"/>
      <c r="I606" s="1"/>
      <c r="J606" s="1"/>
      <c r="K606" s="1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8"/>
      <c r="E607" s="1"/>
      <c r="F607" s="1"/>
      <c r="G607" s="1"/>
      <c r="H607" s="1"/>
      <c r="I607" s="1"/>
      <c r="J607" s="1"/>
      <c r="K607" s="1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8"/>
      <c r="E608" s="1"/>
      <c r="F608" s="1"/>
      <c r="G608" s="1"/>
      <c r="H608" s="1"/>
      <c r="I608" s="1"/>
      <c r="J608" s="1"/>
      <c r="K608" s="1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8"/>
      <c r="E609" s="1"/>
      <c r="F609" s="1"/>
      <c r="G609" s="1"/>
      <c r="H609" s="1"/>
      <c r="I609" s="1"/>
      <c r="J609" s="1"/>
      <c r="K609" s="1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8"/>
      <c r="E610" s="1"/>
      <c r="F610" s="1"/>
      <c r="G610" s="1"/>
      <c r="H610" s="1"/>
      <c r="I610" s="1"/>
      <c r="J610" s="1"/>
      <c r="K610" s="1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8"/>
      <c r="E611" s="1"/>
      <c r="F611" s="1"/>
      <c r="G611" s="1"/>
      <c r="H611" s="1"/>
      <c r="I611" s="1"/>
      <c r="J611" s="1"/>
      <c r="K611" s="1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8"/>
      <c r="E612" s="1"/>
      <c r="F612" s="1"/>
      <c r="G612" s="1"/>
      <c r="H612" s="1"/>
      <c r="I612" s="1"/>
      <c r="J612" s="1"/>
      <c r="K612" s="1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8"/>
      <c r="E613" s="1"/>
      <c r="F613" s="1"/>
      <c r="G613" s="1"/>
      <c r="H613" s="1"/>
      <c r="I613" s="1"/>
      <c r="J613" s="1"/>
      <c r="K613" s="1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8"/>
      <c r="E614" s="1"/>
      <c r="F614" s="1"/>
      <c r="G614" s="1"/>
      <c r="H614" s="1"/>
      <c r="I614" s="1"/>
      <c r="J614" s="1"/>
      <c r="K614" s="1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8"/>
      <c r="E615" s="1"/>
      <c r="F615" s="1"/>
      <c r="G615" s="1"/>
      <c r="H615" s="1"/>
      <c r="I615" s="1"/>
      <c r="J615" s="1"/>
      <c r="K615" s="1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8"/>
      <c r="E616" s="1"/>
      <c r="F616" s="1"/>
      <c r="G616" s="1"/>
      <c r="H616" s="1"/>
      <c r="I616" s="1"/>
      <c r="J616" s="1"/>
      <c r="K616" s="1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8"/>
      <c r="E617" s="1"/>
      <c r="F617" s="1"/>
      <c r="G617" s="1"/>
      <c r="H617" s="1"/>
      <c r="I617" s="1"/>
      <c r="J617" s="1"/>
      <c r="K617" s="1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8"/>
      <c r="E618" s="1"/>
      <c r="F618" s="1"/>
      <c r="G618" s="1"/>
      <c r="H618" s="1"/>
      <c r="I618" s="1"/>
      <c r="J618" s="1"/>
      <c r="K618" s="1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8"/>
      <c r="E619" s="1"/>
      <c r="F619" s="1"/>
      <c r="G619" s="1"/>
      <c r="H619" s="1"/>
      <c r="I619" s="1"/>
      <c r="J619" s="1"/>
      <c r="K619" s="1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8"/>
      <c r="E620" s="1"/>
      <c r="F620" s="1"/>
      <c r="G620" s="1"/>
      <c r="H620" s="1"/>
      <c r="I620" s="1"/>
      <c r="J620" s="1"/>
      <c r="K620" s="1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8"/>
      <c r="E621" s="1"/>
      <c r="F621" s="1"/>
      <c r="G621" s="1"/>
      <c r="H621" s="1"/>
      <c r="I621" s="1"/>
      <c r="J621" s="1"/>
      <c r="K621" s="1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8"/>
      <c r="E622" s="1"/>
      <c r="F622" s="1"/>
      <c r="G622" s="1"/>
      <c r="H622" s="1"/>
      <c r="I622" s="1"/>
      <c r="J622" s="1"/>
      <c r="K622" s="1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8"/>
      <c r="E623" s="1"/>
      <c r="F623" s="1"/>
      <c r="G623" s="1"/>
      <c r="H623" s="1"/>
      <c r="I623" s="1"/>
      <c r="J623" s="1"/>
      <c r="K623" s="1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8"/>
      <c r="E624" s="1"/>
      <c r="F624" s="1"/>
      <c r="G624" s="1"/>
      <c r="H624" s="1"/>
      <c r="I624" s="1"/>
      <c r="J624" s="1"/>
      <c r="K624" s="1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8"/>
      <c r="E625" s="1"/>
      <c r="F625" s="1"/>
      <c r="G625" s="1"/>
      <c r="H625" s="1"/>
      <c r="I625" s="1"/>
      <c r="J625" s="1"/>
      <c r="K625" s="1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8"/>
      <c r="E626" s="1"/>
      <c r="F626" s="1"/>
      <c r="G626" s="1"/>
      <c r="H626" s="1"/>
      <c r="I626" s="1"/>
      <c r="J626" s="1"/>
      <c r="K626" s="1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8"/>
      <c r="E627" s="1"/>
      <c r="F627" s="1"/>
      <c r="G627" s="1"/>
      <c r="H627" s="1"/>
      <c r="I627" s="1"/>
      <c r="J627" s="1"/>
      <c r="K627" s="1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8"/>
      <c r="E628" s="1"/>
      <c r="F628" s="1"/>
      <c r="G628" s="1"/>
      <c r="H628" s="1"/>
      <c r="I628" s="1"/>
      <c r="J628" s="1"/>
      <c r="K628" s="1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8"/>
      <c r="E629" s="1"/>
      <c r="F629" s="1"/>
      <c r="G629" s="1"/>
      <c r="H629" s="1"/>
      <c r="I629" s="1"/>
      <c r="J629" s="1"/>
      <c r="K629" s="1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8"/>
      <c r="E630" s="1"/>
      <c r="F630" s="1"/>
      <c r="G630" s="1"/>
      <c r="H630" s="1"/>
      <c r="I630" s="1"/>
      <c r="J630" s="1"/>
      <c r="K630" s="1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8"/>
      <c r="E631" s="1"/>
      <c r="F631" s="1"/>
      <c r="G631" s="1"/>
      <c r="H631" s="1"/>
      <c r="I631" s="1"/>
      <c r="J631" s="1"/>
      <c r="K631" s="1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8"/>
      <c r="E632" s="1"/>
      <c r="F632" s="1"/>
      <c r="G632" s="1"/>
      <c r="H632" s="1"/>
      <c r="I632" s="1"/>
      <c r="J632" s="1"/>
      <c r="K632" s="1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8"/>
      <c r="E633" s="1"/>
      <c r="F633" s="1"/>
      <c r="G633" s="1"/>
      <c r="H633" s="1"/>
      <c r="I633" s="1"/>
      <c r="J633" s="1"/>
      <c r="K633" s="1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8"/>
      <c r="E634" s="1"/>
      <c r="F634" s="1"/>
      <c r="G634" s="1"/>
      <c r="H634" s="1"/>
      <c r="I634" s="1"/>
      <c r="J634" s="1"/>
      <c r="K634" s="1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8"/>
      <c r="E635" s="1"/>
      <c r="F635" s="1"/>
      <c r="G635" s="1"/>
      <c r="H635" s="1"/>
      <c r="I635" s="1"/>
      <c r="J635" s="1"/>
      <c r="K635" s="1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8"/>
      <c r="E636" s="1"/>
      <c r="F636" s="1"/>
      <c r="G636" s="1"/>
      <c r="H636" s="1"/>
      <c r="I636" s="1"/>
      <c r="J636" s="1"/>
      <c r="K636" s="1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8"/>
      <c r="E637" s="1"/>
      <c r="F637" s="1"/>
      <c r="G637" s="1"/>
      <c r="H637" s="1"/>
      <c r="I637" s="1"/>
      <c r="J637" s="1"/>
      <c r="K637" s="1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8"/>
      <c r="E638" s="1"/>
      <c r="F638" s="1"/>
      <c r="G638" s="1"/>
      <c r="H638" s="1"/>
      <c r="I638" s="1"/>
      <c r="J638" s="1"/>
      <c r="K638" s="1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8"/>
      <c r="E639" s="1"/>
      <c r="F639" s="1"/>
      <c r="G639" s="1"/>
      <c r="H639" s="1"/>
      <c r="I639" s="1"/>
      <c r="J639" s="1"/>
      <c r="K639" s="1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8"/>
      <c r="E640" s="1"/>
      <c r="F640" s="1"/>
      <c r="G640" s="1"/>
      <c r="H640" s="1"/>
      <c r="I640" s="1"/>
      <c r="J640" s="1"/>
      <c r="K640" s="1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8"/>
      <c r="E641" s="1"/>
      <c r="F641" s="1"/>
      <c r="G641" s="1"/>
      <c r="H641" s="1"/>
      <c r="I641" s="1"/>
      <c r="J641" s="1"/>
      <c r="K641" s="1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8"/>
      <c r="E642" s="1"/>
      <c r="F642" s="1"/>
      <c r="G642" s="1"/>
      <c r="H642" s="1"/>
      <c r="I642" s="1"/>
      <c r="J642" s="1"/>
      <c r="K642" s="1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8"/>
      <c r="E643" s="1"/>
      <c r="F643" s="1"/>
      <c r="G643" s="1"/>
      <c r="H643" s="1"/>
      <c r="I643" s="1"/>
      <c r="J643" s="1"/>
      <c r="K643" s="1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8"/>
      <c r="E644" s="1"/>
      <c r="F644" s="1"/>
      <c r="G644" s="1"/>
      <c r="H644" s="1"/>
      <c r="I644" s="1"/>
      <c r="J644" s="1"/>
      <c r="K644" s="1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8"/>
      <c r="E645" s="1"/>
      <c r="F645" s="1"/>
      <c r="G645" s="1"/>
      <c r="H645" s="1"/>
      <c r="I645" s="1"/>
      <c r="J645" s="1"/>
      <c r="K645" s="1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8"/>
      <c r="E646" s="1"/>
      <c r="F646" s="1"/>
      <c r="G646" s="1"/>
      <c r="H646" s="1"/>
      <c r="I646" s="1"/>
      <c r="J646" s="1"/>
      <c r="K646" s="1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8"/>
      <c r="E647" s="1"/>
      <c r="F647" s="1"/>
      <c r="G647" s="1"/>
      <c r="H647" s="1"/>
      <c r="I647" s="1"/>
      <c r="J647" s="1"/>
      <c r="K647" s="1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8"/>
      <c r="E648" s="1"/>
      <c r="F648" s="1"/>
      <c r="G648" s="1"/>
      <c r="H648" s="1"/>
      <c r="I648" s="1"/>
      <c r="J648" s="1"/>
      <c r="K648" s="1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8"/>
      <c r="E649" s="1"/>
      <c r="F649" s="1"/>
      <c r="G649" s="1"/>
      <c r="H649" s="1"/>
      <c r="I649" s="1"/>
      <c r="J649" s="1"/>
      <c r="K649" s="1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8"/>
      <c r="E650" s="1"/>
      <c r="F650" s="1"/>
      <c r="G650" s="1"/>
      <c r="H650" s="1"/>
      <c r="I650" s="1"/>
      <c r="J650" s="1"/>
      <c r="K650" s="1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8"/>
      <c r="E651" s="1"/>
      <c r="F651" s="1"/>
      <c r="G651" s="1"/>
      <c r="H651" s="1"/>
      <c r="I651" s="1"/>
      <c r="J651" s="1"/>
      <c r="K651" s="1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8"/>
      <c r="E652" s="1"/>
      <c r="F652" s="1"/>
      <c r="G652" s="1"/>
      <c r="H652" s="1"/>
      <c r="I652" s="1"/>
      <c r="J652" s="1"/>
      <c r="K652" s="1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8"/>
      <c r="E653" s="1"/>
      <c r="F653" s="1"/>
      <c r="G653" s="1"/>
      <c r="H653" s="1"/>
      <c r="I653" s="1"/>
      <c r="J653" s="1"/>
      <c r="K653" s="1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8"/>
      <c r="E654" s="1"/>
      <c r="F654" s="1"/>
      <c r="G654" s="1"/>
      <c r="H654" s="1"/>
      <c r="I654" s="1"/>
      <c r="J654" s="1"/>
      <c r="K654" s="1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8"/>
      <c r="E655" s="1"/>
      <c r="F655" s="1"/>
      <c r="G655" s="1"/>
      <c r="H655" s="1"/>
      <c r="I655" s="1"/>
      <c r="J655" s="1"/>
      <c r="K655" s="1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8"/>
      <c r="E656" s="1"/>
      <c r="F656" s="1"/>
      <c r="G656" s="1"/>
      <c r="H656" s="1"/>
      <c r="I656" s="1"/>
      <c r="J656" s="1"/>
      <c r="K656" s="1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8"/>
      <c r="E657" s="1"/>
      <c r="F657" s="1"/>
      <c r="G657" s="1"/>
      <c r="H657" s="1"/>
      <c r="I657" s="1"/>
      <c r="J657" s="1"/>
      <c r="K657" s="1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8"/>
      <c r="E658" s="1"/>
      <c r="F658" s="1"/>
      <c r="G658" s="1"/>
      <c r="H658" s="1"/>
      <c r="I658" s="1"/>
      <c r="J658" s="1"/>
      <c r="K658" s="1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8"/>
      <c r="E659" s="1"/>
      <c r="F659" s="1"/>
      <c r="G659" s="1"/>
      <c r="H659" s="1"/>
      <c r="I659" s="1"/>
      <c r="J659" s="1"/>
      <c r="K659" s="1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8"/>
      <c r="E660" s="1"/>
      <c r="F660" s="1"/>
      <c r="G660" s="1"/>
      <c r="H660" s="1"/>
      <c r="I660" s="1"/>
      <c r="J660" s="1"/>
      <c r="K660" s="1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8"/>
      <c r="E661" s="1"/>
      <c r="F661" s="1"/>
      <c r="G661" s="1"/>
      <c r="H661" s="1"/>
      <c r="I661" s="1"/>
      <c r="J661" s="1"/>
      <c r="K661" s="1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8"/>
      <c r="E662" s="1"/>
      <c r="F662" s="1"/>
      <c r="G662" s="1"/>
      <c r="H662" s="1"/>
      <c r="I662" s="1"/>
      <c r="J662" s="1"/>
      <c r="K662" s="1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8"/>
      <c r="E663" s="1"/>
      <c r="F663" s="1"/>
      <c r="G663" s="1"/>
      <c r="H663" s="1"/>
      <c r="I663" s="1"/>
      <c r="J663" s="1"/>
      <c r="K663" s="1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8"/>
      <c r="E664" s="1"/>
      <c r="F664" s="1"/>
      <c r="G664" s="1"/>
      <c r="H664" s="1"/>
      <c r="I664" s="1"/>
      <c r="J664" s="1"/>
      <c r="K664" s="1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8"/>
      <c r="E665" s="1"/>
      <c r="F665" s="1"/>
      <c r="G665" s="1"/>
      <c r="H665" s="1"/>
      <c r="I665" s="1"/>
      <c r="J665" s="1"/>
      <c r="K665" s="1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8"/>
      <c r="E666" s="1"/>
      <c r="F666" s="1"/>
      <c r="G666" s="1"/>
      <c r="H666" s="1"/>
      <c r="I666" s="1"/>
      <c r="J666" s="1"/>
      <c r="K666" s="1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8"/>
      <c r="E667" s="1"/>
      <c r="F667" s="1"/>
      <c r="G667" s="1"/>
      <c r="H667" s="1"/>
      <c r="I667" s="1"/>
      <c r="J667" s="1"/>
      <c r="K667" s="1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8"/>
      <c r="E668" s="1"/>
      <c r="F668" s="1"/>
      <c r="G668" s="1"/>
      <c r="H668" s="1"/>
      <c r="I668" s="1"/>
      <c r="J668" s="1"/>
      <c r="K668" s="1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8"/>
      <c r="E669" s="1"/>
      <c r="F669" s="1"/>
      <c r="G669" s="1"/>
      <c r="H669" s="1"/>
      <c r="I669" s="1"/>
      <c r="J669" s="1"/>
      <c r="K669" s="1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8"/>
      <c r="E670" s="1"/>
      <c r="F670" s="1"/>
      <c r="G670" s="1"/>
      <c r="H670" s="1"/>
      <c r="I670" s="1"/>
      <c r="J670" s="1"/>
      <c r="K670" s="1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8"/>
      <c r="E671" s="1"/>
      <c r="F671" s="1"/>
      <c r="G671" s="1"/>
      <c r="H671" s="1"/>
      <c r="I671" s="1"/>
      <c r="J671" s="1"/>
      <c r="K671" s="1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8"/>
      <c r="E672" s="1"/>
      <c r="F672" s="1"/>
      <c r="G672" s="1"/>
      <c r="H672" s="1"/>
      <c r="I672" s="1"/>
      <c r="J672" s="1"/>
      <c r="K672" s="1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8"/>
      <c r="E673" s="1"/>
      <c r="F673" s="1"/>
      <c r="G673" s="1"/>
      <c r="H673" s="1"/>
      <c r="I673" s="1"/>
      <c r="J673" s="1"/>
      <c r="K673" s="1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8"/>
      <c r="E674" s="1"/>
      <c r="F674" s="1"/>
      <c r="G674" s="1"/>
      <c r="H674" s="1"/>
      <c r="I674" s="1"/>
      <c r="J674" s="1"/>
      <c r="K674" s="1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8"/>
      <c r="E675" s="1"/>
      <c r="F675" s="1"/>
      <c r="G675" s="1"/>
      <c r="H675" s="1"/>
      <c r="I675" s="1"/>
      <c r="J675" s="1"/>
      <c r="K675" s="1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8"/>
      <c r="E676" s="1"/>
      <c r="F676" s="1"/>
      <c r="G676" s="1"/>
      <c r="H676" s="1"/>
      <c r="I676" s="1"/>
      <c r="J676" s="1"/>
      <c r="K676" s="1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8"/>
      <c r="E677" s="1"/>
      <c r="F677" s="1"/>
      <c r="G677" s="1"/>
      <c r="H677" s="1"/>
      <c r="I677" s="1"/>
      <c r="J677" s="1"/>
      <c r="K677" s="1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8"/>
      <c r="E678" s="1"/>
      <c r="F678" s="1"/>
      <c r="G678" s="1"/>
      <c r="H678" s="1"/>
      <c r="I678" s="1"/>
      <c r="J678" s="1"/>
      <c r="K678" s="1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8"/>
      <c r="E679" s="1"/>
      <c r="F679" s="1"/>
      <c r="G679" s="1"/>
      <c r="H679" s="1"/>
      <c r="I679" s="1"/>
      <c r="J679" s="1"/>
      <c r="K679" s="1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8"/>
      <c r="E680" s="1"/>
      <c r="F680" s="1"/>
      <c r="G680" s="1"/>
      <c r="H680" s="1"/>
      <c r="I680" s="1"/>
      <c r="J680" s="1"/>
      <c r="K680" s="1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8"/>
      <c r="E681" s="1"/>
      <c r="F681" s="1"/>
      <c r="G681" s="1"/>
      <c r="H681" s="1"/>
      <c r="I681" s="1"/>
      <c r="J681" s="1"/>
      <c r="K681" s="1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8"/>
      <c r="E682" s="1"/>
      <c r="F682" s="1"/>
      <c r="G682" s="1"/>
      <c r="H682" s="1"/>
      <c r="I682" s="1"/>
      <c r="J682" s="1"/>
      <c r="K682" s="1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8"/>
      <c r="E683" s="1"/>
      <c r="F683" s="1"/>
      <c r="G683" s="1"/>
      <c r="H683" s="1"/>
      <c r="I683" s="1"/>
      <c r="J683" s="1"/>
      <c r="K683" s="1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8"/>
      <c r="E684" s="1"/>
      <c r="F684" s="1"/>
      <c r="G684" s="1"/>
      <c r="H684" s="1"/>
      <c r="I684" s="1"/>
      <c r="J684" s="1"/>
      <c r="K684" s="1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8"/>
      <c r="E685" s="1"/>
      <c r="F685" s="1"/>
      <c r="G685" s="1"/>
      <c r="H685" s="1"/>
      <c r="I685" s="1"/>
      <c r="J685" s="1"/>
      <c r="K685" s="1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8"/>
      <c r="E686" s="1"/>
      <c r="F686" s="1"/>
      <c r="G686" s="1"/>
      <c r="H686" s="1"/>
      <c r="I686" s="1"/>
      <c r="J686" s="1"/>
      <c r="K686" s="1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8"/>
      <c r="E687" s="1"/>
      <c r="F687" s="1"/>
      <c r="G687" s="1"/>
      <c r="H687" s="1"/>
      <c r="I687" s="1"/>
      <c r="J687" s="1"/>
      <c r="K687" s="1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8"/>
      <c r="E688" s="1"/>
      <c r="F688" s="1"/>
      <c r="G688" s="1"/>
      <c r="H688" s="1"/>
      <c r="I688" s="1"/>
      <c r="J688" s="1"/>
      <c r="K688" s="1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8"/>
      <c r="E689" s="1"/>
      <c r="F689" s="1"/>
      <c r="G689" s="1"/>
      <c r="H689" s="1"/>
      <c r="I689" s="1"/>
      <c r="J689" s="1"/>
      <c r="K689" s="1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8"/>
      <c r="E690" s="1"/>
      <c r="F690" s="1"/>
      <c r="G690" s="1"/>
      <c r="H690" s="1"/>
      <c r="I690" s="1"/>
      <c r="J690" s="1"/>
      <c r="K690" s="1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8"/>
      <c r="E691" s="1"/>
      <c r="F691" s="1"/>
      <c r="G691" s="1"/>
      <c r="H691" s="1"/>
      <c r="I691" s="1"/>
      <c r="J691" s="1"/>
      <c r="K691" s="1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8"/>
      <c r="E692" s="1"/>
      <c r="F692" s="1"/>
      <c r="G692" s="1"/>
      <c r="H692" s="1"/>
      <c r="I692" s="1"/>
      <c r="J692" s="1"/>
      <c r="K692" s="1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8"/>
      <c r="E693" s="1"/>
      <c r="F693" s="1"/>
      <c r="G693" s="1"/>
      <c r="H693" s="1"/>
      <c r="I693" s="1"/>
      <c r="J693" s="1"/>
      <c r="K693" s="1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8"/>
      <c r="E694" s="1"/>
      <c r="F694" s="1"/>
      <c r="G694" s="1"/>
      <c r="H694" s="1"/>
      <c r="I694" s="1"/>
      <c r="J694" s="1"/>
      <c r="K694" s="1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8"/>
      <c r="E695" s="1"/>
      <c r="F695" s="1"/>
      <c r="G695" s="1"/>
      <c r="H695" s="1"/>
      <c r="I695" s="1"/>
      <c r="J695" s="1"/>
      <c r="K695" s="1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8"/>
      <c r="E696" s="1"/>
      <c r="F696" s="1"/>
      <c r="G696" s="1"/>
      <c r="H696" s="1"/>
      <c r="I696" s="1"/>
      <c r="J696" s="1"/>
      <c r="K696" s="1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8"/>
      <c r="E697" s="1"/>
      <c r="F697" s="1"/>
      <c r="G697" s="1"/>
      <c r="H697" s="1"/>
      <c r="I697" s="1"/>
      <c r="J697" s="1"/>
      <c r="K697" s="1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8"/>
      <c r="E698" s="1"/>
      <c r="F698" s="1"/>
      <c r="G698" s="1"/>
      <c r="H698" s="1"/>
      <c r="I698" s="1"/>
      <c r="J698" s="1"/>
      <c r="K698" s="1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8"/>
      <c r="E699" s="1"/>
      <c r="F699" s="1"/>
      <c r="G699" s="1"/>
      <c r="H699" s="1"/>
      <c r="I699" s="1"/>
      <c r="J699" s="1"/>
      <c r="K699" s="1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8"/>
      <c r="E700" s="1"/>
      <c r="F700" s="1"/>
      <c r="G700" s="1"/>
      <c r="H700" s="1"/>
      <c r="I700" s="1"/>
      <c r="J700" s="1"/>
      <c r="K700" s="1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8"/>
      <c r="E701" s="1"/>
      <c r="F701" s="1"/>
      <c r="G701" s="1"/>
      <c r="H701" s="1"/>
      <c r="I701" s="1"/>
      <c r="J701" s="1"/>
      <c r="K701" s="1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8"/>
      <c r="E702" s="1"/>
      <c r="F702" s="1"/>
      <c r="G702" s="1"/>
      <c r="H702" s="1"/>
      <c r="I702" s="1"/>
      <c r="J702" s="1"/>
      <c r="K702" s="1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8"/>
      <c r="E703" s="1"/>
      <c r="F703" s="1"/>
      <c r="G703" s="1"/>
      <c r="H703" s="1"/>
      <c r="I703" s="1"/>
      <c r="J703" s="1"/>
      <c r="K703" s="1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8"/>
      <c r="E704" s="1"/>
      <c r="F704" s="1"/>
      <c r="G704" s="1"/>
      <c r="H704" s="1"/>
      <c r="I704" s="1"/>
      <c r="J704" s="1"/>
      <c r="K704" s="1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8"/>
      <c r="E705" s="1"/>
      <c r="F705" s="1"/>
      <c r="G705" s="1"/>
      <c r="H705" s="1"/>
      <c r="I705" s="1"/>
      <c r="J705" s="1"/>
      <c r="K705" s="1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8"/>
      <c r="E706" s="1"/>
      <c r="F706" s="1"/>
      <c r="G706" s="1"/>
      <c r="H706" s="1"/>
      <c r="I706" s="1"/>
      <c r="J706" s="1"/>
      <c r="K706" s="1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8"/>
      <c r="E707" s="1"/>
      <c r="F707" s="1"/>
      <c r="G707" s="1"/>
      <c r="H707" s="1"/>
      <c r="I707" s="1"/>
      <c r="J707" s="1"/>
      <c r="K707" s="1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8"/>
      <c r="E708" s="1"/>
      <c r="F708" s="1"/>
      <c r="G708" s="1"/>
      <c r="H708" s="1"/>
      <c r="I708" s="1"/>
      <c r="J708" s="1"/>
      <c r="K708" s="1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8"/>
      <c r="E709" s="1"/>
      <c r="F709" s="1"/>
      <c r="G709" s="1"/>
      <c r="H709" s="1"/>
      <c r="I709" s="1"/>
      <c r="J709" s="1"/>
      <c r="K709" s="1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8"/>
      <c r="E710" s="1"/>
      <c r="F710" s="1"/>
      <c r="G710" s="1"/>
      <c r="H710" s="1"/>
      <c r="I710" s="1"/>
      <c r="J710" s="1"/>
      <c r="K710" s="1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8"/>
      <c r="E711" s="1"/>
      <c r="F711" s="1"/>
      <c r="G711" s="1"/>
      <c r="H711" s="1"/>
      <c r="I711" s="1"/>
      <c r="J711" s="1"/>
      <c r="K711" s="1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8"/>
      <c r="E712" s="1"/>
      <c r="F712" s="1"/>
      <c r="G712" s="1"/>
      <c r="H712" s="1"/>
      <c r="I712" s="1"/>
      <c r="J712" s="1"/>
      <c r="K712" s="1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8"/>
      <c r="E713" s="1"/>
      <c r="F713" s="1"/>
      <c r="G713" s="1"/>
      <c r="H713" s="1"/>
      <c r="I713" s="1"/>
      <c r="J713" s="1"/>
      <c r="K713" s="1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8"/>
      <c r="E714" s="1"/>
      <c r="F714" s="1"/>
      <c r="G714" s="1"/>
      <c r="H714" s="1"/>
      <c r="I714" s="1"/>
      <c r="J714" s="1"/>
      <c r="K714" s="1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8"/>
      <c r="E715" s="1"/>
      <c r="F715" s="1"/>
      <c r="G715" s="1"/>
      <c r="H715" s="1"/>
      <c r="I715" s="1"/>
      <c r="J715" s="1"/>
      <c r="K715" s="1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8"/>
      <c r="E716" s="1"/>
      <c r="F716" s="1"/>
      <c r="G716" s="1"/>
      <c r="H716" s="1"/>
      <c r="I716" s="1"/>
      <c r="J716" s="1"/>
      <c r="K716" s="1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8"/>
      <c r="E717" s="1"/>
      <c r="F717" s="1"/>
      <c r="G717" s="1"/>
      <c r="H717" s="1"/>
      <c r="I717" s="1"/>
      <c r="J717" s="1"/>
      <c r="K717" s="1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8"/>
      <c r="E718" s="1"/>
      <c r="F718" s="1"/>
      <c r="G718" s="1"/>
      <c r="H718" s="1"/>
      <c r="I718" s="1"/>
      <c r="J718" s="1"/>
      <c r="K718" s="1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8"/>
      <c r="E719" s="1"/>
      <c r="F719" s="1"/>
      <c r="G719" s="1"/>
      <c r="H719" s="1"/>
      <c r="I719" s="1"/>
      <c r="J719" s="1"/>
      <c r="K719" s="1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8"/>
      <c r="E720" s="1"/>
      <c r="F720" s="1"/>
      <c r="G720" s="1"/>
      <c r="H720" s="1"/>
      <c r="I720" s="1"/>
      <c r="J720" s="1"/>
      <c r="K720" s="1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8"/>
      <c r="E721" s="1"/>
      <c r="F721" s="1"/>
      <c r="G721" s="1"/>
      <c r="H721" s="1"/>
      <c r="I721" s="1"/>
      <c r="J721" s="1"/>
      <c r="K721" s="1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8"/>
      <c r="E722" s="1"/>
      <c r="F722" s="1"/>
      <c r="G722" s="1"/>
      <c r="H722" s="1"/>
      <c r="I722" s="1"/>
      <c r="J722" s="1"/>
      <c r="K722" s="1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8"/>
      <c r="E723" s="1"/>
      <c r="F723" s="1"/>
      <c r="G723" s="1"/>
      <c r="H723" s="1"/>
      <c r="I723" s="1"/>
      <c r="J723" s="1"/>
      <c r="K723" s="1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8"/>
      <c r="E724" s="1"/>
      <c r="F724" s="1"/>
      <c r="G724" s="1"/>
      <c r="H724" s="1"/>
      <c r="I724" s="1"/>
      <c r="J724" s="1"/>
      <c r="K724" s="1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8"/>
      <c r="E725" s="1"/>
      <c r="F725" s="1"/>
      <c r="G725" s="1"/>
      <c r="H725" s="1"/>
      <c r="I725" s="1"/>
      <c r="J725" s="1"/>
      <c r="K725" s="1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8"/>
      <c r="E726" s="1"/>
      <c r="F726" s="1"/>
      <c r="G726" s="1"/>
      <c r="H726" s="1"/>
      <c r="I726" s="1"/>
      <c r="J726" s="1"/>
      <c r="K726" s="1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8"/>
      <c r="E727" s="1"/>
      <c r="F727" s="1"/>
      <c r="G727" s="1"/>
      <c r="H727" s="1"/>
      <c r="I727" s="1"/>
      <c r="J727" s="1"/>
      <c r="K727" s="1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8"/>
      <c r="E728" s="1"/>
      <c r="F728" s="1"/>
      <c r="G728" s="1"/>
      <c r="H728" s="1"/>
      <c r="I728" s="1"/>
      <c r="J728" s="1"/>
      <c r="K728" s="1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8"/>
      <c r="E729" s="1"/>
      <c r="F729" s="1"/>
      <c r="G729" s="1"/>
      <c r="H729" s="1"/>
      <c r="I729" s="1"/>
      <c r="J729" s="1"/>
      <c r="K729" s="1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8"/>
      <c r="E730" s="1"/>
      <c r="F730" s="1"/>
      <c r="G730" s="1"/>
      <c r="H730" s="1"/>
      <c r="I730" s="1"/>
      <c r="J730" s="1"/>
      <c r="K730" s="1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8"/>
      <c r="E731" s="1"/>
      <c r="F731" s="1"/>
      <c r="G731" s="1"/>
      <c r="H731" s="1"/>
      <c r="I731" s="1"/>
      <c r="J731" s="1"/>
      <c r="K731" s="1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8"/>
      <c r="E732" s="1"/>
      <c r="F732" s="1"/>
      <c r="G732" s="1"/>
      <c r="H732" s="1"/>
      <c r="I732" s="1"/>
      <c r="J732" s="1"/>
      <c r="K732" s="1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8"/>
      <c r="E733" s="1"/>
      <c r="F733" s="1"/>
      <c r="G733" s="1"/>
      <c r="H733" s="1"/>
      <c r="I733" s="1"/>
      <c r="J733" s="1"/>
      <c r="K733" s="1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8"/>
      <c r="E734" s="1"/>
      <c r="F734" s="1"/>
      <c r="G734" s="1"/>
      <c r="H734" s="1"/>
      <c r="I734" s="1"/>
      <c r="J734" s="1"/>
      <c r="K734" s="1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8"/>
      <c r="E735" s="1"/>
      <c r="F735" s="1"/>
      <c r="G735" s="1"/>
      <c r="H735" s="1"/>
      <c r="I735" s="1"/>
      <c r="J735" s="1"/>
      <c r="K735" s="1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8"/>
      <c r="E736" s="1"/>
      <c r="F736" s="1"/>
      <c r="G736" s="1"/>
      <c r="H736" s="1"/>
      <c r="I736" s="1"/>
      <c r="J736" s="1"/>
      <c r="K736" s="1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8"/>
      <c r="E737" s="1"/>
      <c r="F737" s="1"/>
      <c r="G737" s="1"/>
      <c r="H737" s="1"/>
      <c r="I737" s="1"/>
      <c r="J737" s="1"/>
      <c r="K737" s="1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8"/>
      <c r="E738" s="1"/>
      <c r="F738" s="1"/>
      <c r="G738" s="1"/>
      <c r="H738" s="1"/>
      <c r="I738" s="1"/>
      <c r="J738" s="1"/>
      <c r="K738" s="1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8"/>
      <c r="E739" s="1"/>
      <c r="F739" s="1"/>
      <c r="G739" s="1"/>
      <c r="H739" s="1"/>
      <c r="I739" s="1"/>
      <c r="J739" s="1"/>
      <c r="K739" s="1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8"/>
      <c r="E740" s="1"/>
      <c r="F740" s="1"/>
      <c r="G740" s="1"/>
      <c r="H740" s="1"/>
      <c r="I740" s="1"/>
      <c r="J740" s="1"/>
      <c r="K740" s="1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8"/>
      <c r="E741" s="1"/>
      <c r="F741" s="1"/>
      <c r="G741" s="1"/>
      <c r="H741" s="1"/>
      <c r="I741" s="1"/>
      <c r="J741" s="1"/>
      <c r="K741" s="1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8"/>
      <c r="E742" s="1"/>
      <c r="F742" s="1"/>
      <c r="G742" s="1"/>
      <c r="H742" s="1"/>
      <c r="I742" s="1"/>
      <c r="J742" s="1"/>
      <c r="K742" s="1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8"/>
      <c r="E743" s="1"/>
      <c r="F743" s="1"/>
      <c r="G743" s="1"/>
      <c r="H743" s="1"/>
      <c r="I743" s="1"/>
      <c r="J743" s="1"/>
      <c r="K743" s="1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8"/>
      <c r="E744" s="1"/>
      <c r="F744" s="1"/>
      <c r="G744" s="1"/>
      <c r="H744" s="1"/>
      <c r="I744" s="1"/>
      <c r="J744" s="1"/>
      <c r="K744" s="1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8"/>
      <c r="E745" s="1"/>
      <c r="F745" s="1"/>
      <c r="G745" s="1"/>
      <c r="H745" s="1"/>
      <c r="I745" s="1"/>
      <c r="J745" s="1"/>
      <c r="K745" s="1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8"/>
      <c r="E746" s="1"/>
      <c r="F746" s="1"/>
      <c r="G746" s="1"/>
      <c r="H746" s="1"/>
      <c r="I746" s="1"/>
      <c r="J746" s="1"/>
      <c r="K746" s="1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8"/>
      <c r="E747" s="1"/>
      <c r="F747" s="1"/>
      <c r="G747" s="1"/>
      <c r="H747" s="1"/>
      <c r="I747" s="1"/>
      <c r="J747" s="1"/>
      <c r="K747" s="1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8"/>
      <c r="E748" s="1"/>
      <c r="F748" s="1"/>
      <c r="G748" s="1"/>
      <c r="H748" s="1"/>
      <c r="I748" s="1"/>
      <c r="J748" s="1"/>
      <c r="K748" s="1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8"/>
      <c r="E749" s="1"/>
      <c r="F749" s="1"/>
      <c r="G749" s="1"/>
      <c r="H749" s="1"/>
      <c r="I749" s="1"/>
      <c r="J749" s="1"/>
      <c r="K749" s="1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8"/>
      <c r="E750" s="1"/>
      <c r="F750" s="1"/>
      <c r="G750" s="1"/>
      <c r="H750" s="1"/>
      <c r="I750" s="1"/>
      <c r="J750" s="1"/>
      <c r="K750" s="1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8"/>
      <c r="E751" s="1"/>
      <c r="F751" s="1"/>
      <c r="G751" s="1"/>
      <c r="H751" s="1"/>
      <c r="I751" s="1"/>
      <c r="J751" s="1"/>
      <c r="K751" s="1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8"/>
      <c r="E752" s="1"/>
      <c r="F752" s="1"/>
      <c r="G752" s="1"/>
      <c r="H752" s="1"/>
      <c r="I752" s="1"/>
      <c r="J752" s="1"/>
      <c r="K752" s="1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8"/>
      <c r="E753" s="1"/>
      <c r="F753" s="1"/>
      <c r="G753" s="1"/>
      <c r="H753" s="1"/>
      <c r="I753" s="1"/>
      <c r="J753" s="1"/>
      <c r="K753" s="1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8"/>
      <c r="E754" s="1"/>
      <c r="F754" s="1"/>
      <c r="G754" s="1"/>
      <c r="H754" s="1"/>
      <c r="I754" s="1"/>
      <c r="J754" s="1"/>
      <c r="K754" s="1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8"/>
      <c r="E755" s="1"/>
      <c r="F755" s="1"/>
      <c r="G755" s="1"/>
      <c r="H755" s="1"/>
      <c r="I755" s="1"/>
      <c r="J755" s="1"/>
      <c r="K755" s="1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8"/>
      <c r="E756" s="1"/>
      <c r="F756" s="1"/>
      <c r="G756" s="1"/>
      <c r="H756" s="1"/>
      <c r="I756" s="1"/>
      <c r="J756" s="1"/>
      <c r="K756" s="1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8"/>
      <c r="E757" s="1"/>
      <c r="F757" s="1"/>
      <c r="G757" s="1"/>
      <c r="H757" s="1"/>
      <c r="I757" s="1"/>
      <c r="J757" s="1"/>
      <c r="K757" s="1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8"/>
      <c r="E758" s="1"/>
      <c r="F758" s="1"/>
      <c r="G758" s="1"/>
      <c r="H758" s="1"/>
      <c r="I758" s="1"/>
      <c r="J758" s="1"/>
      <c r="K758" s="1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8"/>
      <c r="E759" s="1"/>
      <c r="F759" s="1"/>
      <c r="G759" s="1"/>
      <c r="H759" s="1"/>
      <c r="I759" s="1"/>
      <c r="J759" s="1"/>
      <c r="K759" s="1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8"/>
      <c r="E760" s="1"/>
      <c r="F760" s="1"/>
      <c r="G760" s="1"/>
      <c r="H760" s="1"/>
      <c r="I760" s="1"/>
      <c r="J760" s="1"/>
      <c r="K760" s="1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8"/>
      <c r="E761" s="1"/>
      <c r="F761" s="1"/>
      <c r="G761" s="1"/>
      <c r="H761" s="1"/>
      <c r="I761" s="1"/>
      <c r="J761" s="1"/>
      <c r="K761" s="1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8"/>
      <c r="E762" s="1"/>
      <c r="F762" s="1"/>
      <c r="G762" s="1"/>
      <c r="H762" s="1"/>
      <c r="I762" s="1"/>
      <c r="J762" s="1"/>
      <c r="K762" s="1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8"/>
      <c r="E763" s="1"/>
      <c r="F763" s="1"/>
      <c r="G763" s="1"/>
      <c r="H763" s="1"/>
      <c r="I763" s="1"/>
      <c r="J763" s="1"/>
      <c r="K763" s="1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8"/>
      <c r="E764" s="1"/>
      <c r="F764" s="1"/>
      <c r="G764" s="1"/>
      <c r="H764" s="1"/>
      <c r="I764" s="1"/>
      <c r="J764" s="1"/>
      <c r="K764" s="1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8"/>
      <c r="E765" s="1"/>
      <c r="F765" s="1"/>
      <c r="G765" s="1"/>
      <c r="H765" s="1"/>
      <c r="I765" s="1"/>
      <c r="J765" s="1"/>
      <c r="K765" s="1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8"/>
      <c r="E766" s="1"/>
      <c r="F766" s="1"/>
      <c r="G766" s="1"/>
      <c r="H766" s="1"/>
      <c r="I766" s="1"/>
      <c r="J766" s="1"/>
      <c r="K766" s="1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8"/>
      <c r="E767" s="1"/>
      <c r="F767" s="1"/>
      <c r="G767" s="1"/>
      <c r="H767" s="1"/>
      <c r="I767" s="1"/>
      <c r="J767" s="1"/>
      <c r="K767" s="1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8"/>
      <c r="E768" s="1"/>
      <c r="F768" s="1"/>
      <c r="G768" s="1"/>
      <c r="H768" s="1"/>
      <c r="I768" s="1"/>
      <c r="J768" s="1"/>
      <c r="K768" s="1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8"/>
      <c r="E769" s="1"/>
      <c r="F769" s="1"/>
      <c r="G769" s="1"/>
      <c r="H769" s="1"/>
      <c r="I769" s="1"/>
      <c r="J769" s="1"/>
      <c r="K769" s="1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8"/>
      <c r="E770" s="1"/>
      <c r="F770" s="1"/>
      <c r="G770" s="1"/>
      <c r="H770" s="1"/>
      <c r="I770" s="1"/>
      <c r="J770" s="1"/>
      <c r="K770" s="1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8"/>
      <c r="E771" s="1"/>
      <c r="F771" s="1"/>
      <c r="G771" s="1"/>
      <c r="H771" s="1"/>
      <c r="I771" s="1"/>
      <c r="J771" s="1"/>
      <c r="K771" s="1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8"/>
      <c r="E772" s="1"/>
      <c r="F772" s="1"/>
      <c r="G772" s="1"/>
      <c r="H772" s="1"/>
      <c r="I772" s="1"/>
      <c r="J772" s="1"/>
      <c r="K772" s="1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8"/>
      <c r="E773" s="1"/>
      <c r="F773" s="1"/>
      <c r="G773" s="1"/>
      <c r="H773" s="1"/>
      <c r="I773" s="1"/>
      <c r="J773" s="1"/>
      <c r="K773" s="1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8"/>
      <c r="E774" s="1"/>
      <c r="F774" s="1"/>
      <c r="G774" s="1"/>
      <c r="H774" s="1"/>
      <c r="I774" s="1"/>
      <c r="J774" s="1"/>
      <c r="K774" s="1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8"/>
      <c r="E775" s="1"/>
      <c r="F775" s="1"/>
      <c r="G775" s="1"/>
      <c r="H775" s="1"/>
      <c r="I775" s="1"/>
      <c r="J775" s="1"/>
      <c r="K775" s="1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8"/>
      <c r="E776" s="1"/>
      <c r="F776" s="1"/>
      <c r="G776" s="1"/>
      <c r="H776" s="1"/>
      <c r="I776" s="1"/>
      <c r="J776" s="1"/>
      <c r="K776" s="1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8"/>
      <c r="E777" s="1"/>
      <c r="F777" s="1"/>
      <c r="G777" s="1"/>
      <c r="H777" s="1"/>
      <c r="I777" s="1"/>
      <c r="J777" s="1"/>
      <c r="K777" s="1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8"/>
      <c r="E778" s="1"/>
      <c r="F778" s="1"/>
      <c r="G778" s="1"/>
      <c r="H778" s="1"/>
      <c r="I778" s="1"/>
      <c r="J778" s="1"/>
      <c r="K778" s="1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8"/>
      <c r="E779" s="1"/>
      <c r="F779" s="1"/>
      <c r="G779" s="1"/>
      <c r="H779" s="1"/>
      <c r="I779" s="1"/>
      <c r="J779" s="1"/>
      <c r="K779" s="1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8"/>
      <c r="E780" s="1"/>
      <c r="F780" s="1"/>
      <c r="G780" s="1"/>
      <c r="H780" s="1"/>
      <c r="I780" s="1"/>
      <c r="J780" s="1"/>
      <c r="K780" s="1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8"/>
      <c r="E781" s="1"/>
      <c r="F781" s="1"/>
      <c r="G781" s="1"/>
      <c r="H781" s="1"/>
      <c r="I781" s="1"/>
      <c r="J781" s="1"/>
      <c r="K781" s="1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8"/>
      <c r="E782" s="1"/>
      <c r="F782" s="1"/>
      <c r="G782" s="1"/>
      <c r="H782" s="1"/>
      <c r="I782" s="1"/>
      <c r="J782" s="1"/>
      <c r="K782" s="1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8"/>
      <c r="E783" s="1"/>
      <c r="F783" s="1"/>
      <c r="G783" s="1"/>
      <c r="H783" s="1"/>
      <c r="I783" s="1"/>
      <c r="J783" s="1"/>
      <c r="K783" s="1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8"/>
      <c r="E784" s="1"/>
      <c r="F784" s="1"/>
      <c r="G784" s="1"/>
      <c r="H784" s="1"/>
      <c r="I784" s="1"/>
      <c r="J784" s="1"/>
      <c r="K784" s="1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8"/>
      <c r="E785" s="1"/>
      <c r="F785" s="1"/>
      <c r="G785" s="1"/>
      <c r="H785" s="1"/>
      <c r="I785" s="1"/>
      <c r="J785" s="1"/>
      <c r="K785" s="1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8"/>
      <c r="E786" s="1"/>
      <c r="F786" s="1"/>
      <c r="G786" s="1"/>
      <c r="H786" s="1"/>
      <c r="I786" s="1"/>
      <c r="J786" s="1"/>
      <c r="K786" s="1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8"/>
      <c r="E787" s="1"/>
      <c r="F787" s="1"/>
      <c r="G787" s="1"/>
      <c r="H787" s="1"/>
      <c r="I787" s="1"/>
      <c r="J787" s="1"/>
      <c r="K787" s="1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8"/>
      <c r="E788" s="1"/>
      <c r="F788" s="1"/>
      <c r="G788" s="1"/>
      <c r="H788" s="1"/>
      <c r="I788" s="1"/>
      <c r="J788" s="1"/>
      <c r="K788" s="1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8"/>
      <c r="E789" s="1"/>
      <c r="F789" s="1"/>
      <c r="G789" s="1"/>
      <c r="H789" s="1"/>
      <c r="I789" s="1"/>
      <c r="J789" s="1"/>
      <c r="K789" s="1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8"/>
      <c r="E790" s="1"/>
      <c r="F790" s="1"/>
      <c r="G790" s="1"/>
      <c r="H790" s="1"/>
      <c r="I790" s="1"/>
      <c r="J790" s="1"/>
      <c r="K790" s="1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8"/>
      <c r="E791" s="1"/>
      <c r="F791" s="1"/>
      <c r="G791" s="1"/>
      <c r="H791" s="1"/>
      <c r="I791" s="1"/>
      <c r="J791" s="1"/>
      <c r="K791" s="1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8"/>
      <c r="E792" s="1"/>
      <c r="F792" s="1"/>
      <c r="G792" s="1"/>
      <c r="H792" s="1"/>
      <c r="I792" s="1"/>
      <c r="J792" s="1"/>
      <c r="K792" s="1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8"/>
      <c r="E793" s="1"/>
      <c r="F793" s="1"/>
      <c r="G793" s="1"/>
      <c r="H793" s="1"/>
      <c r="I793" s="1"/>
      <c r="J793" s="1"/>
      <c r="K793" s="1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8"/>
      <c r="E794" s="1"/>
      <c r="F794" s="1"/>
      <c r="G794" s="1"/>
      <c r="H794" s="1"/>
      <c r="I794" s="1"/>
      <c r="J794" s="1"/>
      <c r="K794" s="1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8"/>
      <c r="E795" s="1"/>
      <c r="F795" s="1"/>
      <c r="G795" s="1"/>
      <c r="H795" s="1"/>
      <c r="I795" s="1"/>
      <c r="J795" s="1"/>
      <c r="K795" s="1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8"/>
      <c r="E796" s="1"/>
      <c r="F796" s="1"/>
      <c r="G796" s="1"/>
      <c r="H796" s="1"/>
      <c r="I796" s="1"/>
      <c r="J796" s="1"/>
      <c r="K796" s="1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8"/>
      <c r="E797" s="1"/>
      <c r="F797" s="1"/>
      <c r="G797" s="1"/>
      <c r="H797" s="1"/>
      <c r="I797" s="1"/>
      <c r="J797" s="1"/>
      <c r="K797" s="1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8"/>
      <c r="E798" s="1"/>
      <c r="F798" s="1"/>
      <c r="G798" s="1"/>
      <c r="H798" s="1"/>
      <c r="I798" s="1"/>
      <c r="J798" s="1"/>
      <c r="K798" s="1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8"/>
      <c r="E799" s="1"/>
      <c r="F799" s="1"/>
      <c r="G799" s="1"/>
      <c r="H799" s="1"/>
      <c r="I799" s="1"/>
      <c r="J799" s="1"/>
      <c r="K799" s="1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8"/>
      <c r="E800" s="1"/>
      <c r="F800" s="1"/>
      <c r="G800" s="1"/>
      <c r="H800" s="1"/>
      <c r="I800" s="1"/>
      <c r="J800" s="1"/>
      <c r="K800" s="1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8"/>
      <c r="E801" s="1"/>
      <c r="F801" s="1"/>
      <c r="G801" s="1"/>
      <c r="H801" s="1"/>
      <c r="I801" s="1"/>
      <c r="J801" s="1"/>
      <c r="K801" s="1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8"/>
      <c r="E802" s="1"/>
      <c r="F802" s="1"/>
      <c r="G802" s="1"/>
      <c r="H802" s="1"/>
      <c r="I802" s="1"/>
      <c r="J802" s="1"/>
      <c r="K802" s="1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8"/>
      <c r="E803" s="1"/>
      <c r="F803" s="1"/>
      <c r="G803" s="1"/>
      <c r="H803" s="1"/>
      <c r="I803" s="1"/>
      <c r="J803" s="1"/>
      <c r="K803" s="1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8"/>
      <c r="E804" s="1"/>
      <c r="F804" s="1"/>
      <c r="G804" s="1"/>
      <c r="H804" s="1"/>
      <c r="I804" s="1"/>
      <c r="J804" s="1"/>
      <c r="K804" s="1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8"/>
      <c r="E805" s="1"/>
      <c r="F805" s="1"/>
      <c r="G805" s="1"/>
      <c r="H805" s="1"/>
      <c r="I805" s="1"/>
      <c r="J805" s="1"/>
      <c r="K805" s="1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8"/>
      <c r="E806" s="1"/>
      <c r="F806" s="1"/>
      <c r="G806" s="1"/>
      <c r="H806" s="1"/>
      <c r="I806" s="1"/>
      <c r="J806" s="1"/>
      <c r="K806" s="1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8"/>
      <c r="E807" s="1"/>
      <c r="F807" s="1"/>
      <c r="G807" s="1"/>
      <c r="H807" s="1"/>
      <c r="I807" s="1"/>
      <c r="J807" s="1"/>
      <c r="K807" s="1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8"/>
      <c r="E808" s="1"/>
      <c r="F808" s="1"/>
      <c r="G808" s="1"/>
      <c r="H808" s="1"/>
      <c r="I808" s="1"/>
      <c r="J808" s="1"/>
      <c r="K808" s="1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8"/>
      <c r="E809" s="1"/>
      <c r="F809" s="1"/>
      <c r="G809" s="1"/>
      <c r="H809" s="1"/>
      <c r="I809" s="1"/>
      <c r="J809" s="1"/>
      <c r="K809" s="1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8"/>
      <c r="E810" s="1"/>
      <c r="F810" s="1"/>
      <c r="G810" s="1"/>
      <c r="H810" s="1"/>
      <c r="I810" s="1"/>
      <c r="J810" s="1"/>
      <c r="K810" s="1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8"/>
      <c r="E811" s="1"/>
      <c r="F811" s="1"/>
      <c r="G811" s="1"/>
      <c r="H811" s="1"/>
      <c r="I811" s="1"/>
      <c r="J811" s="1"/>
      <c r="K811" s="1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8"/>
      <c r="E812" s="1"/>
      <c r="F812" s="1"/>
      <c r="G812" s="1"/>
      <c r="H812" s="1"/>
      <c r="I812" s="1"/>
      <c r="J812" s="1"/>
      <c r="K812" s="1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8"/>
      <c r="E813" s="1"/>
      <c r="F813" s="1"/>
      <c r="G813" s="1"/>
      <c r="H813" s="1"/>
      <c r="I813" s="1"/>
      <c r="J813" s="1"/>
      <c r="K813" s="1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8"/>
      <c r="E814" s="1"/>
      <c r="F814" s="1"/>
      <c r="G814" s="1"/>
      <c r="H814" s="1"/>
      <c r="I814" s="1"/>
      <c r="J814" s="1"/>
      <c r="K814" s="1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8"/>
      <c r="E815" s="1"/>
      <c r="F815" s="1"/>
      <c r="G815" s="1"/>
      <c r="H815" s="1"/>
      <c r="I815" s="1"/>
      <c r="J815" s="1"/>
      <c r="K815" s="1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8"/>
      <c r="E816" s="1"/>
      <c r="F816" s="1"/>
      <c r="G816" s="1"/>
      <c r="H816" s="1"/>
      <c r="I816" s="1"/>
      <c r="J816" s="1"/>
      <c r="K816" s="1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8"/>
      <c r="E817" s="1"/>
      <c r="F817" s="1"/>
      <c r="G817" s="1"/>
      <c r="H817" s="1"/>
      <c r="I817" s="1"/>
      <c r="J817" s="1"/>
      <c r="K817" s="17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8"/>
      <c r="E818" s="1"/>
      <c r="F818" s="1"/>
      <c r="G818" s="1"/>
      <c r="H818" s="1"/>
      <c r="I818" s="1"/>
      <c r="J818" s="1"/>
      <c r="K818" s="1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8"/>
      <c r="E819" s="1"/>
      <c r="F819" s="1"/>
      <c r="G819" s="1"/>
      <c r="H819" s="1"/>
      <c r="I819" s="1"/>
      <c r="J819" s="1"/>
      <c r="K819" s="1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8"/>
      <c r="E820" s="1"/>
      <c r="F820" s="1"/>
      <c r="G820" s="1"/>
      <c r="H820" s="1"/>
      <c r="I820" s="1"/>
      <c r="J820" s="1"/>
      <c r="K820" s="1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8"/>
      <c r="E821" s="1"/>
      <c r="F821" s="1"/>
      <c r="G821" s="1"/>
      <c r="H821" s="1"/>
      <c r="I821" s="1"/>
      <c r="J821" s="1"/>
      <c r="K821" s="1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8"/>
      <c r="E822" s="1"/>
      <c r="F822" s="1"/>
      <c r="G822" s="1"/>
      <c r="H822" s="1"/>
      <c r="I822" s="1"/>
      <c r="J822" s="1"/>
      <c r="K822" s="1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8"/>
      <c r="E823" s="1"/>
      <c r="F823" s="1"/>
      <c r="G823" s="1"/>
      <c r="H823" s="1"/>
      <c r="I823" s="1"/>
      <c r="J823" s="1"/>
      <c r="K823" s="1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8"/>
      <c r="E824" s="1"/>
      <c r="F824" s="1"/>
      <c r="G824" s="1"/>
      <c r="H824" s="1"/>
      <c r="I824" s="1"/>
      <c r="J824" s="1"/>
      <c r="K824" s="1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8"/>
      <c r="E825" s="1"/>
      <c r="F825" s="1"/>
      <c r="G825" s="1"/>
      <c r="H825" s="1"/>
      <c r="I825" s="1"/>
      <c r="J825" s="1"/>
      <c r="K825" s="1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8"/>
      <c r="E826" s="1"/>
      <c r="F826" s="1"/>
      <c r="G826" s="1"/>
      <c r="H826" s="1"/>
      <c r="I826" s="1"/>
      <c r="J826" s="1"/>
      <c r="K826" s="1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8"/>
      <c r="E827" s="1"/>
      <c r="F827" s="1"/>
      <c r="G827" s="1"/>
      <c r="H827" s="1"/>
      <c r="I827" s="1"/>
      <c r="J827" s="1"/>
      <c r="K827" s="1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8"/>
      <c r="E828" s="1"/>
      <c r="F828" s="1"/>
      <c r="G828" s="1"/>
      <c r="H828" s="1"/>
      <c r="I828" s="1"/>
      <c r="J828" s="1"/>
      <c r="K828" s="1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8"/>
      <c r="E829" s="1"/>
      <c r="F829" s="1"/>
      <c r="G829" s="1"/>
      <c r="H829" s="1"/>
      <c r="I829" s="1"/>
      <c r="J829" s="1"/>
      <c r="K829" s="1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8"/>
      <c r="E830" s="1"/>
      <c r="F830" s="1"/>
      <c r="G830" s="1"/>
      <c r="H830" s="1"/>
      <c r="I830" s="1"/>
      <c r="J830" s="1"/>
      <c r="K830" s="1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8"/>
      <c r="E831" s="1"/>
      <c r="F831" s="1"/>
      <c r="G831" s="1"/>
      <c r="H831" s="1"/>
      <c r="I831" s="1"/>
      <c r="J831" s="1"/>
      <c r="K831" s="1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8"/>
      <c r="E832" s="1"/>
      <c r="F832" s="1"/>
      <c r="G832" s="1"/>
      <c r="H832" s="1"/>
      <c r="I832" s="1"/>
      <c r="J832" s="1"/>
      <c r="K832" s="1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8"/>
      <c r="E833" s="1"/>
      <c r="F833" s="1"/>
      <c r="G833" s="1"/>
      <c r="H833" s="1"/>
      <c r="I833" s="1"/>
      <c r="J833" s="1"/>
      <c r="K833" s="1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8"/>
      <c r="E834" s="1"/>
      <c r="F834" s="1"/>
      <c r="G834" s="1"/>
      <c r="H834" s="1"/>
      <c r="I834" s="1"/>
      <c r="J834" s="1"/>
      <c r="K834" s="1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8"/>
      <c r="E835" s="1"/>
      <c r="F835" s="1"/>
      <c r="G835" s="1"/>
      <c r="H835" s="1"/>
      <c r="I835" s="1"/>
      <c r="J835" s="1"/>
      <c r="K835" s="1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8"/>
      <c r="E836" s="1"/>
      <c r="F836" s="1"/>
      <c r="G836" s="1"/>
      <c r="H836" s="1"/>
      <c r="I836" s="1"/>
      <c r="J836" s="1"/>
      <c r="K836" s="1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8"/>
      <c r="E837" s="1"/>
      <c r="F837" s="1"/>
      <c r="G837" s="1"/>
      <c r="H837" s="1"/>
      <c r="I837" s="1"/>
      <c r="J837" s="1"/>
      <c r="K837" s="1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8"/>
      <c r="E838" s="1"/>
      <c r="F838" s="1"/>
      <c r="G838" s="1"/>
      <c r="H838" s="1"/>
      <c r="I838" s="1"/>
      <c r="J838" s="1"/>
      <c r="K838" s="1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8"/>
      <c r="E839" s="1"/>
      <c r="F839" s="1"/>
      <c r="G839" s="1"/>
      <c r="H839" s="1"/>
      <c r="I839" s="1"/>
      <c r="J839" s="1"/>
      <c r="K839" s="1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8"/>
      <c r="E840" s="1"/>
      <c r="F840" s="1"/>
      <c r="G840" s="1"/>
      <c r="H840" s="1"/>
      <c r="I840" s="1"/>
      <c r="J840" s="1"/>
      <c r="K840" s="1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8"/>
      <c r="E841" s="1"/>
      <c r="F841" s="1"/>
      <c r="G841" s="1"/>
      <c r="H841" s="1"/>
      <c r="I841" s="1"/>
      <c r="J841" s="1"/>
      <c r="K841" s="1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8"/>
      <c r="E842" s="1"/>
      <c r="F842" s="1"/>
      <c r="G842" s="1"/>
      <c r="H842" s="1"/>
      <c r="I842" s="1"/>
      <c r="J842" s="1"/>
      <c r="K842" s="1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8"/>
      <c r="E843" s="1"/>
      <c r="F843" s="1"/>
      <c r="G843" s="1"/>
      <c r="H843" s="1"/>
      <c r="I843" s="1"/>
      <c r="J843" s="1"/>
      <c r="K843" s="1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8"/>
      <c r="E844" s="1"/>
      <c r="F844" s="1"/>
      <c r="G844" s="1"/>
      <c r="H844" s="1"/>
      <c r="I844" s="1"/>
      <c r="J844" s="1"/>
      <c r="K844" s="1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8"/>
      <c r="E845" s="1"/>
      <c r="F845" s="1"/>
      <c r="G845" s="1"/>
      <c r="H845" s="1"/>
      <c r="I845" s="1"/>
      <c r="J845" s="1"/>
      <c r="K845" s="1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8"/>
      <c r="E846" s="1"/>
      <c r="F846" s="1"/>
      <c r="G846" s="1"/>
      <c r="H846" s="1"/>
      <c r="I846" s="1"/>
      <c r="J846" s="1"/>
      <c r="K846" s="1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8"/>
      <c r="E847" s="1"/>
      <c r="F847" s="1"/>
      <c r="G847" s="1"/>
      <c r="H847" s="1"/>
      <c r="I847" s="1"/>
      <c r="J847" s="1"/>
      <c r="K847" s="1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8"/>
      <c r="E848" s="1"/>
      <c r="F848" s="1"/>
      <c r="G848" s="1"/>
      <c r="H848" s="1"/>
      <c r="I848" s="1"/>
      <c r="J848" s="1"/>
      <c r="K848" s="1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8"/>
      <c r="E849" s="1"/>
      <c r="F849" s="1"/>
      <c r="G849" s="1"/>
      <c r="H849" s="1"/>
      <c r="I849" s="1"/>
      <c r="J849" s="1"/>
      <c r="K849" s="1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8"/>
      <c r="E850" s="1"/>
      <c r="F850" s="1"/>
      <c r="G850" s="1"/>
      <c r="H850" s="1"/>
      <c r="I850" s="1"/>
      <c r="J850" s="1"/>
      <c r="K850" s="1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8"/>
      <c r="E851" s="1"/>
      <c r="F851" s="1"/>
      <c r="G851" s="1"/>
      <c r="H851" s="1"/>
      <c r="I851" s="1"/>
      <c r="J851" s="1"/>
      <c r="K851" s="1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8"/>
      <c r="E852" s="1"/>
      <c r="F852" s="1"/>
      <c r="G852" s="1"/>
      <c r="H852" s="1"/>
      <c r="I852" s="1"/>
      <c r="J852" s="1"/>
      <c r="K852" s="1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8"/>
      <c r="E853" s="1"/>
      <c r="F853" s="1"/>
      <c r="G853" s="1"/>
      <c r="H853" s="1"/>
      <c r="I853" s="1"/>
      <c r="J853" s="1"/>
      <c r="K853" s="1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8"/>
      <c r="E854" s="1"/>
      <c r="F854" s="1"/>
      <c r="G854" s="1"/>
      <c r="H854" s="1"/>
      <c r="I854" s="1"/>
      <c r="J854" s="1"/>
      <c r="K854" s="1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8"/>
      <c r="E855" s="1"/>
      <c r="F855" s="1"/>
      <c r="G855" s="1"/>
      <c r="H855" s="1"/>
      <c r="I855" s="1"/>
      <c r="J855" s="1"/>
      <c r="K855" s="1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8"/>
      <c r="E856" s="1"/>
      <c r="F856" s="1"/>
      <c r="G856" s="1"/>
      <c r="H856" s="1"/>
      <c r="I856" s="1"/>
      <c r="J856" s="1"/>
      <c r="K856" s="1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8"/>
      <c r="E857" s="1"/>
      <c r="F857" s="1"/>
      <c r="G857" s="1"/>
      <c r="H857" s="1"/>
      <c r="I857" s="1"/>
      <c r="J857" s="1"/>
      <c r="K857" s="1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8"/>
      <c r="E858" s="1"/>
      <c r="F858" s="1"/>
      <c r="G858" s="1"/>
      <c r="H858" s="1"/>
      <c r="I858" s="1"/>
      <c r="J858" s="1"/>
      <c r="K858" s="1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8"/>
      <c r="E859" s="1"/>
      <c r="F859" s="1"/>
      <c r="G859" s="1"/>
      <c r="H859" s="1"/>
      <c r="I859" s="1"/>
      <c r="J859" s="1"/>
      <c r="K859" s="1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8"/>
      <c r="E860" s="1"/>
      <c r="F860" s="1"/>
      <c r="G860" s="1"/>
      <c r="H860" s="1"/>
      <c r="I860" s="1"/>
      <c r="J860" s="1"/>
      <c r="K860" s="1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8"/>
      <c r="E861" s="1"/>
      <c r="F861" s="1"/>
      <c r="G861" s="1"/>
      <c r="H861" s="1"/>
      <c r="I861" s="1"/>
      <c r="J861" s="1"/>
      <c r="K861" s="1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8"/>
      <c r="E862" s="1"/>
      <c r="F862" s="1"/>
      <c r="G862" s="1"/>
      <c r="H862" s="1"/>
      <c r="I862" s="1"/>
      <c r="J862" s="1"/>
      <c r="K862" s="1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8"/>
      <c r="E863" s="1"/>
      <c r="F863" s="1"/>
      <c r="G863" s="1"/>
      <c r="H863" s="1"/>
      <c r="I863" s="1"/>
      <c r="J863" s="1"/>
      <c r="K863" s="1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8"/>
      <c r="E864" s="1"/>
      <c r="F864" s="1"/>
      <c r="G864" s="1"/>
      <c r="H864" s="1"/>
      <c r="I864" s="1"/>
      <c r="J864" s="1"/>
      <c r="K864" s="1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8"/>
      <c r="E865" s="1"/>
      <c r="F865" s="1"/>
      <c r="G865" s="1"/>
      <c r="H865" s="1"/>
      <c r="I865" s="1"/>
      <c r="J865" s="1"/>
      <c r="K865" s="1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8"/>
      <c r="E866" s="1"/>
      <c r="F866" s="1"/>
      <c r="G866" s="1"/>
      <c r="H866" s="1"/>
      <c r="I866" s="1"/>
      <c r="J866" s="1"/>
      <c r="K866" s="1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8"/>
      <c r="E867" s="1"/>
      <c r="F867" s="1"/>
      <c r="G867" s="1"/>
      <c r="H867" s="1"/>
      <c r="I867" s="1"/>
      <c r="J867" s="1"/>
      <c r="K867" s="1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8"/>
      <c r="E868" s="1"/>
      <c r="F868" s="1"/>
      <c r="G868" s="1"/>
      <c r="H868" s="1"/>
      <c r="I868" s="1"/>
      <c r="J868" s="1"/>
      <c r="K868" s="1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8"/>
      <c r="E869" s="1"/>
      <c r="F869" s="1"/>
      <c r="G869" s="1"/>
      <c r="H869" s="1"/>
      <c r="I869" s="1"/>
      <c r="J869" s="1"/>
      <c r="K869" s="1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8"/>
      <c r="E870" s="1"/>
      <c r="F870" s="1"/>
      <c r="G870" s="1"/>
      <c r="H870" s="1"/>
      <c r="I870" s="1"/>
      <c r="J870" s="1"/>
      <c r="K870" s="1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8"/>
      <c r="E871" s="1"/>
      <c r="F871" s="1"/>
      <c r="G871" s="1"/>
      <c r="H871" s="1"/>
      <c r="I871" s="1"/>
      <c r="J871" s="1"/>
      <c r="K871" s="1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8"/>
      <c r="E872" s="1"/>
      <c r="F872" s="1"/>
      <c r="G872" s="1"/>
      <c r="H872" s="1"/>
      <c r="I872" s="1"/>
      <c r="J872" s="1"/>
      <c r="K872" s="1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8"/>
      <c r="E873" s="1"/>
      <c r="F873" s="1"/>
      <c r="G873" s="1"/>
      <c r="H873" s="1"/>
      <c r="I873" s="1"/>
      <c r="J873" s="1"/>
      <c r="K873" s="1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8"/>
      <c r="E874" s="1"/>
      <c r="F874" s="1"/>
      <c r="G874" s="1"/>
      <c r="H874" s="1"/>
      <c r="I874" s="1"/>
      <c r="J874" s="1"/>
      <c r="K874" s="1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8"/>
      <c r="E875" s="1"/>
      <c r="F875" s="1"/>
      <c r="G875" s="1"/>
      <c r="H875" s="1"/>
      <c r="I875" s="1"/>
      <c r="J875" s="1"/>
      <c r="K875" s="1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8"/>
      <c r="E876" s="1"/>
      <c r="F876" s="1"/>
      <c r="G876" s="1"/>
      <c r="H876" s="1"/>
      <c r="I876" s="1"/>
      <c r="J876" s="1"/>
      <c r="K876" s="1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8"/>
      <c r="E877" s="1"/>
      <c r="F877" s="1"/>
      <c r="G877" s="1"/>
      <c r="H877" s="1"/>
      <c r="I877" s="1"/>
      <c r="J877" s="1"/>
      <c r="K877" s="1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8"/>
      <c r="E878" s="1"/>
      <c r="F878" s="1"/>
      <c r="G878" s="1"/>
      <c r="H878" s="1"/>
      <c r="I878" s="1"/>
      <c r="J878" s="1"/>
      <c r="K878" s="1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8"/>
      <c r="E879" s="1"/>
      <c r="F879" s="1"/>
      <c r="G879" s="1"/>
      <c r="H879" s="1"/>
      <c r="I879" s="1"/>
      <c r="J879" s="1"/>
      <c r="K879" s="1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8"/>
      <c r="E880" s="1"/>
      <c r="F880" s="1"/>
      <c r="G880" s="1"/>
      <c r="H880" s="1"/>
      <c r="I880" s="1"/>
      <c r="J880" s="1"/>
      <c r="K880" s="1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8"/>
      <c r="E881" s="1"/>
      <c r="F881" s="1"/>
      <c r="G881" s="1"/>
      <c r="H881" s="1"/>
      <c r="I881" s="1"/>
      <c r="J881" s="1"/>
      <c r="K881" s="1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8"/>
      <c r="E882" s="1"/>
      <c r="F882" s="1"/>
      <c r="G882" s="1"/>
      <c r="H882" s="1"/>
      <c r="I882" s="1"/>
      <c r="J882" s="1"/>
      <c r="K882" s="1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8"/>
      <c r="E883" s="1"/>
      <c r="F883" s="1"/>
      <c r="G883" s="1"/>
      <c r="H883" s="1"/>
      <c r="I883" s="1"/>
      <c r="J883" s="1"/>
      <c r="K883" s="1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8"/>
      <c r="E884" s="1"/>
      <c r="F884" s="1"/>
      <c r="G884" s="1"/>
      <c r="H884" s="1"/>
      <c r="I884" s="1"/>
      <c r="J884" s="1"/>
      <c r="K884" s="1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8"/>
      <c r="E885" s="1"/>
      <c r="F885" s="1"/>
      <c r="G885" s="1"/>
      <c r="H885" s="1"/>
      <c r="I885" s="1"/>
      <c r="J885" s="1"/>
      <c r="K885" s="1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8"/>
      <c r="E886" s="1"/>
      <c r="F886" s="1"/>
      <c r="G886" s="1"/>
      <c r="H886" s="1"/>
      <c r="I886" s="1"/>
      <c r="J886" s="1"/>
      <c r="K886" s="1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8"/>
      <c r="E887" s="1"/>
      <c r="F887" s="1"/>
      <c r="G887" s="1"/>
      <c r="H887" s="1"/>
      <c r="I887" s="1"/>
      <c r="J887" s="1"/>
      <c r="K887" s="1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8"/>
      <c r="E888" s="1"/>
      <c r="F888" s="1"/>
      <c r="G888" s="1"/>
      <c r="H888" s="1"/>
      <c r="I888" s="1"/>
      <c r="J888" s="1"/>
      <c r="K888" s="1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8"/>
      <c r="E889" s="1"/>
      <c r="F889" s="1"/>
      <c r="G889" s="1"/>
      <c r="H889" s="1"/>
      <c r="I889" s="1"/>
      <c r="J889" s="1"/>
      <c r="K889" s="1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8"/>
      <c r="E890" s="1"/>
      <c r="F890" s="1"/>
      <c r="G890" s="1"/>
      <c r="H890" s="1"/>
      <c r="I890" s="1"/>
      <c r="J890" s="1"/>
      <c r="K890" s="1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8"/>
      <c r="E891" s="1"/>
      <c r="F891" s="1"/>
      <c r="G891" s="1"/>
      <c r="H891" s="1"/>
      <c r="I891" s="1"/>
      <c r="J891" s="1"/>
      <c r="K891" s="1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8"/>
      <c r="E892" s="1"/>
      <c r="F892" s="1"/>
      <c r="G892" s="1"/>
      <c r="H892" s="1"/>
      <c r="I892" s="1"/>
      <c r="J892" s="1"/>
      <c r="K892" s="1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8"/>
      <c r="E893" s="1"/>
      <c r="F893" s="1"/>
      <c r="G893" s="1"/>
      <c r="H893" s="1"/>
      <c r="I893" s="1"/>
      <c r="J893" s="1"/>
      <c r="K893" s="1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8"/>
      <c r="E894" s="1"/>
      <c r="F894" s="1"/>
      <c r="G894" s="1"/>
      <c r="H894" s="1"/>
      <c r="I894" s="1"/>
      <c r="J894" s="1"/>
      <c r="K894" s="1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8"/>
      <c r="E895" s="1"/>
      <c r="F895" s="1"/>
      <c r="G895" s="1"/>
      <c r="H895" s="1"/>
      <c r="I895" s="1"/>
      <c r="J895" s="1"/>
      <c r="K895" s="1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8"/>
      <c r="E896" s="1"/>
      <c r="F896" s="1"/>
      <c r="G896" s="1"/>
      <c r="H896" s="1"/>
      <c r="I896" s="1"/>
      <c r="J896" s="1"/>
      <c r="K896" s="1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8"/>
      <c r="E897" s="1"/>
      <c r="F897" s="1"/>
      <c r="G897" s="1"/>
      <c r="H897" s="1"/>
      <c r="I897" s="1"/>
      <c r="J897" s="1"/>
      <c r="K897" s="1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8"/>
      <c r="E898" s="1"/>
      <c r="F898" s="1"/>
      <c r="G898" s="1"/>
      <c r="H898" s="1"/>
      <c r="I898" s="1"/>
      <c r="J898" s="1"/>
      <c r="K898" s="1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8"/>
      <c r="E899" s="1"/>
      <c r="F899" s="1"/>
      <c r="G899" s="1"/>
      <c r="H899" s="1"/>
      <c r="I899" s="1"/>
      <c r="J899" s="1"/>
      <c r="K899" s="1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8"/>
      <c r="E900" s="1"/>
      <c r="F900" s="1"/>
      <c r="G900" s="1"/>
      <c r="H900" s="1"/>
      <c r="I900" s="1"/>
      <c r="J900" s="1"/>
      <c r="K900" s="1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8"/>
      <c r="E901" s="1"/>
      <c r="F901" s="1"/>
      <c r="G901" s="1"/>
      <c r="H901" s="1"/>
      <c r="I901" s="1"/>
      <c r="J901" s="1"/>
      <c r="K901" s="1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8"/>
      <c r="E902" s="1"/>
      <c r="F902" s="1"/>
      <c r="G902" s="1"/>
      <c r="H902" s="1"/>
      <c r="I902" s="1"/>
      <c r="J902" s="1"/>
      <c r="K902" s="1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8"/>
      <c r="E903" s="1"/>
      <c r="F903" s="1"/>
      <c r="G903" s="1"/>
      <c r="H903" s="1"/>
      <c r="I903" s="1"/>
      <c r="J903" s="1"/>
      <c r="K903" s="1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8"/>
      <c r="E904" s="1"/>
      <c r="F904" s="1"/>
      <c r="G904" s="1"/>
      <c r="H904" s="1"/>
      <c r="I904" s="1"/>
      <c r="J904" s="1"/>
      <c r="K904" s="1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8"/>
      <c r="E905" s="1"/>
      <c r="F905" s="1"/>
      <c r="G905" s="1"/>
      <c r="H905" s="1"/>
      <c r="I905" s="1"/>
      <c r="J905" s="1"/>
      <c r="K905" s="1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8"/>
      <c r="E906" s="1"/>
      <c r="F906" s="1"/>
      <c r="G906" s="1"/>
      <c r="H906" s="1"/>
      <c r="I906" s="1"/>
      <c r="J906" s="1"/>
      <c r="K906" s="1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8"/>
      <c r="E907" s="1"/>
      <c r="F907" s="1"/>
      <c r="G907" s="1"/>
      <c r="H907" s="1"/>
      <c r="I907" s="1"/>
      <c r="J907" s="1"/>
      <c r="K907" s="1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8"/>
      <c r="E908" s="1"/>
      <c r="F908" s="1"/>
      <c r="G908" s="1"/>
      <c r="H908" s="1"/>
      <c r="I908" s="1"/>
      <c r="J908" s="1"/>
      <c r="K908" s="1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8"/>
      <c r="E909" s="1"/>
      <c r="F909" s="1"/>
      <c r="G909" s="1"/>
      <c r="H909" s="1"/>
      <c r="I909" s="1"/>
      <c r="J909" s="1"/>
      <c r="K909" s="1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8"/>
      <c r="E910" s="1"/>
      <c r="F910" s="1"/>
      <c r="G910" s="1"/>
      <c r="H910" s="1"/>
      <c r="I910" s="1"/>
      <c r="J910" s="1"/>
      <c r="K910" s="1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8"/>
      <c r="E911" s="1"/>
      <c r="F911" s="1"/>
      <c r="G911" s="1"/>
      <c r="H911" s="1"/>
      <c r="I911" s="1"/>
      <c r="J911" s="1"/>
      <c r="K911" s="1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8"/>
      <c r="E912" s="1"/>
      <c r="F912" s="1"/>
      <c r="G912" s="1"/>
      <c r="H912" s="1"/>
      <c r="I912" s="1"/>
      <c r="J912" s="1"/>
      <c r="K912" s="1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8"/>
      <c r="E913" s="1"/>
      <c r="F913" s="1"/>
      <c r="G913" s="1"/>
      <c r="H913" s="1"/>
      <c r="I913" s="1"/>
      <c r="J913" s="1"/>
      <c r="K913" s="1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8"/>
      <c r="E914" s="1"/>
      <c r="F914" s="1"/>
      <c r="G914" s="1"/>
      <c r="H914" s="1"/>
      <c r="I914" s="1"/>
      <c r="J914" s="1"/>
      <c r="K914" s="1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8"/>
      <c r="E915" s="1"/>
      <c r="F915" s="1"/>
      <c r="G915" s="1"/>
      <c r="H915" s="1"/>
      <c r="I915" s="1"/>
      <c r="J915" s="1"/>
      <c r="K915" s="1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8"/>
      <c r="E916" s="1"/>
      <c r="F916" s="1"/>
      <c r="G916" s="1"/>
      <c r="H916" s="1"/>
      <c r="I916" s="1"/>
      <c r="J916" s="1"/>
      <c r="K916" s="1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8"/>
      <c r="E917" s="1"/>
      <c r="F917" s="1"/>
      <c r="G917" s="1"/>
      <c r="H917" s="1"/>
      <c r="I917" s="1"/>
      <c r="J917" s="1"/>
      <c r="K917" s="1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8"/>
      <c r="E918" s="1"/>
      <c r="F918" s="1"/>
      <c r="G918" s="1"/>
      <c r="H918" s="1"/>
      <c r="I918" s="1"/>
      <c r="J918" s="1"/>
      <c r="K918" s="1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8"/>
      <c r="E919" s="1"/>
      <c r="F919" s="1"/>
      <c r="G919" s="1"/>
      <c r="H919" s="1"/>
      <c r="I919" s="1"/>
      <c r="J919" s="1"/>
      <c r="K919" s="1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8"/>
      <c r="E920" s="1"/>
      <c r="F920" s="1"/>
      <c r="G920" s="1"/>
      <c r="H920" s="1"/>
      <c r="I920" s="1"/>
      <c r="J920" s="1"/>
      <c r="K920" s="1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8"/>
      <c r="E921" s="1"/>
      <c r="F921" s="1"/>
      <c r="G921" s="1"/>
      <c r="H921" s="1"/>
      <c r="I921" s="1"/>
      <c r="J921" s="1"/>
      <c r="K921" s="1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8"/>
      <c r="E922" s="1"/>
      <c r="F922" s="1"/>
      <c r="G922" s="1"/>
      <c r="H922" s="1"/>
      <c r="I922" s="1"/>
      <c r="J922" s="1"/>
      <c r="K922" s="1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8"/>
      <c r="E923" s="1"/>
      <c r="F923" s="1"/>
      <c r="G923" s="1"/>
      <c r="H923" s="1"/>
      <c r="I923" s="1"/>
      <c r="J923" s="1"/>
      <c r="K923" s="1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8"/>
      <c r="E924" s="1"/>
      <c r="F924" s="1"/>
      <c r="G924" s="1"/>
      <c r="H924" s="1"/>
      <c r="I924" s="1"/>
      <c r="J924" s="1"/>
      <c r="K924" s="1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8"/>
      <c r="E925" s="1"/>
      <c r="F925" s="1"/>
      <c r="G925" s="1"/>
      <c r="H925" s="1"/>
      <c r="I925" s="1"/>
      <c r="J925" s="1"/>
      <c r="K925" s="1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8"/>
      <c r="E926" s="1"/>
      <c r="F926" s="1"/>
      <c r="G926" s="1"/>
      <c r="H926" s="1"/>
      <c r="I926" s="1"/>
      <c r="J926" s="1"/>
      <c r="K926" s="1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8"/>
      <c r="E927" s="1"/>
      <c r="F927" s="1"/>
      <c r="G927" s="1"/>
      <c r="H927" s="1"/>
      <c r="I927" s="1"/>
      <c r="J927" s="1"/>
      <c r="K927" s="17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8"/>
      <c r="E928" s="1"/>
      <c r="F928" s="1"/>
      <c r="G928" s="1"/>
      <c r="H928" s="1"/>
      <c r="I928" s="1"/>
      <c r="J928" s="1"/>
      <c r="K928" s="1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8"/>
      <c r="E929" s="1"/>
      <c r="F929" s="1"/>
      <c r="G929" s="1"/>
      <c r="H929" s="1"/>
      <c r="I929" s="1"/>
      <c r="J929" s="1"/>
      <c r="K929" s="1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8"/>
      <c r="E930" s="1"/>
      <c r="F930" s="1"/>
      <c r="G930" s="1"/>
      <c r="H930" s="1"/>
      <c r="I930" s="1"/>
      <c r="J930" s="1"/>
      <c r="K930" s="1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8"/>
      <c r="E931" s="1"/>
      <c r="F931" s="1"/>
      <c r="G931" s="1"/>
      <c r="H931" s="1"/>
      <c r="I931" s="1"/>
      <c r="J931" s="1"/>
      <c r="K931" s="1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8"/>
      <c r="E932" s="1"/>
      <c r="F932" s="1"/>
      <c r="G932" s="1"/>
      <c r="H932" s="1"/>
      <c r="I932" s="1"/>
      <c r="J932" s="1"/>
      <c r="K932" s="1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8"/>
      <c r="E933" s="1"/>
      <c r="F933" s="1"/>
      <c r="G933" s="1"/>
      <c r="H933" s="1"/>
      <c r="I933" s="1"/>
      <c r="J933" s="1"/>
      <c r="K933" s="1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8"/>
      <c r="E934" s="1"/>
      <c r="F934" s="1"/>
      <c r="G934" s="1"/>
      <c r="H934" s="1"/>
      <c r="I934" s="1"/>
      <c r="J934" s="1"/>
      <c r="K934" s="1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8"/>
      <c r="E935" s="1"/>
      <c r="F935" s="1"/>
      <c r="G935" s="1"/>
      <c r="H935" s="1"/>
      <c r="I935" s="1"/>
      <c r="J935" s="1"/>
      <c r="K935" s="1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8"/>
      <c r="E936" s="1"/>
      <c r="F936" s="1"/>
      <c r="G936" s="1"/>
      <c r="H936" s="1"/>
      <c r="I936" s="1"/>
      <c r="J936" s="1"/>
      <c r="K936" s="1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8"/>
      <c r="E937" s="1"/>
      <c r="F937" s="1"/>
      <c r="G937" s="1"/>
      <c r="H937" s="1"/>
      <c r="I937" s="1"/>
      <c r="J937" s="1"/>
      <c r="K937" s="1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8"/>
      <c r="E938" s="1"/>
      <c r="F938" s="1"/>
      <c r="G938" s="1"/>
      <c r="H938" s="1"/>
      <c r="I938" s="1"/>
      <c r="J938" s="1"/>
      <c r="K938" s="1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8"/>
      <c r="E939" s="1"/>
      <c r="F939" s="1"/>
      <c r="G939" s="1"/>
      <c r="H939" s="1"/>
      <c r="I939" s="1"/>
      <c r="J939" s="1"/>
      <c r="K939" s="1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8"/>
      <c r="E940" s="1"/>
      <c r="F940" s="1"/>
      <c r="G940" s="1"/>
      <c r="H940" s="1"/>
      <c r="I940" s="1"/>
      <c r="J940" s="1"/>
      <c r="K940" s="1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8"/>
      <c r="E941" s="1"/>
      <c r="F941" s="1"/>
      <c r="G941" s="1"/>
      <c r="H941" s="1"/>
      <c r="I941" s="1"/>
      <c r="J941" s="1"/>
      <c r="K941" s="1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8"/>
      <c r="E942" s="1"/>
      <c r="F942" s="1"/>
      <c r="G942" s="1"/>
      <c r="H942" s="1"/>
      <c r="I942" s="1"/>
      <c r="J942" s="1"/>
      <c r="K942" s="1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8"/>
      <c r="E943" s="1"/>
      <c r="F943" s="1"/>
      <c r="G943" s="1"/>
      <c r="H943" s="1"/>
      <c r="I943" s="1"/>
      <c r="J943" s="1"/>
      <c r="K943" s="1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8"/>
      <c r="E944" s="1"/>
      <c r="F944" s="1"/>
      <c r="G944" s="1"/>
      <c r="H944" s="1"/>
      <c r="I944" s="1"/>
      <c r="J944" s="1"/>
      <c r="K944" s="1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8"/>
      <c r="E945" s="1"/>
      <c r="F945" s="1"/>
      <c r="G945" s="1"/>
      <c r="H945" s="1"/>
      <c r="I945" s="1"/>
      <c r="J945" s="1"/>
      <c r="K945" s="1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8"/>
      <c r="E946" s="1"/>
      <c r="F946" s="1"/>
      <c r="G946" s="1"/>
      <c r="H946" s="1"/>
      <c r="I946" s="1"/>
      <c r="J946" s="1"/>
      <c r="K946" s="1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8"/>
      <c r="E947" s="1"/>
      <c r="F947" s="1"/>
      <c r="G947" s="1"/>
      <c r="H947" s="1"/>
      <c r="I947" s="1"/>
      <c r="J947" s="1"/>
      <c r="K947" s="1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8"/>
      <c r="E948" s="1"/>
      <c r="F948" s="1"/>
      <c r="G948" s="1"/>
      <c r="H948" s="1"/>
      <c r="I948" s="1"/>
      <c r="J948" s="1"/>
      <c r="K948" s="1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8"/>
      <c r="E949" s="1"/>
      <c r="F949" s="1"/>
      <c r="G949" s="1"/>
      <c r="H949" s="1"/>
      <c r="I949" s="1"/>
      <c r="J949" s="1"/>
      <c r="K949" s="1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8"/>
      <c r="E950" s="1"/>
      <c r="F950" s="1"/>
      <c r="G950" s="1"/>
      <c r="H950" s="1"/>
      <c r="I950" s="1"/>
      <c r="J950" s="1"/>
      <c r="K950" s="1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8"/>
      <c r="E951" s="1"/>
      <c r="F951" s="1"/>
      <c r="G951" s="1"/>
      <c r="H951" s="1"/>
      <c r="I951" s="1"/>
      <c r="J951" s="1"/>
      <c r="K951" s="1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8"/>
      <c r="E952" s="1"/>
      <c r="F952" s="1"/>
      <c r="G952" s="1"/>
      <c r="H952" s="1"/>
      <c r="I952" s="1"/>
      <c r="J952" s="1"/>
      <c r="K952" s="1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8"/>
      <c r="E953" s="1"/>
      <c r="F953" s="1"/>
      <c r="G953" s="1"/>
      <c r="H953" s="1"/>
      <c r="I953" s="1"/>
      <c r="J953" s="1"/>
      <c r="K953" s="1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8"/>
      <c r="E954" s="1"/>
      <c r="F954" s="1"/>
      <c r="G954" s="1"/>
      <c r="H954" s="1"/>
      <c r="I954" s="1"/>
      <c r="J954" s="1"/>
      <c r="K954" s="1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8"/>
      <c r="E955" s="1"/>
      <c r="F955" s="1"/>
      <c r="G955" s="1"/>
      <c r="H955" s="1"/>
      <c r="I955" s="1"/>
      <c r="J955" s="1"/>
      <c r="K955" s="1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8"/>
      <c r="E956" s="1"/>
      <c r="F956" s="1"/>
      <c r="G956" s="1"/>
      <c r="H956" s="1"/>
      <c r="I956" s="1"/>
      <c r="J956" s="1"/>
      <c r="K956" s="1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8"/>
      <c r="E957" s="1"/>
      <c r="F957" s="1"/>
      <c r="G957" s="1"/>
      <c r="H957" s="1"/>
      <c r="I957" s="1"/>
      <c r="J957" s="1"/>
      <c r="K957" s="1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8"/>
      <c r="E958" s="1"/>
      <c r="F958" s="1"/>
      <c r="G958" s="1"/>
      <c r="H958" s="1"/>
      <c r="I958" s="1"/>
      <c r="J958" s="1"/>
      <c r="K958" s="1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8"/>
      <c r="E959" s="1"/>
      <c r="F959" s="1"/>
      <c r="G959" s="1"/>
      <c r="H959" s="1"/>
      <c r="I959" s="1"/>
      <c r="J959" s="1"/>
      <c r="K959" s="1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8"/>
      <c r="E960" s="1"/>
      <c r="F960" s="1"/>
      <c r="G960" s="1"/>
      <c r="H960" s="1"/>
      <c r="I960" s="1"/>
      <c r="J960" s="1"/>
      <c r="K960" s="1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8"/>
      <c r="E961" s="1"/>
      <c r="F961" s="1"/>
      <c r="G961" s="1"/>
      <c r="H961" s="1"/>
      <c r="I961" s="1"/>
      <c r="J961" s="1"/>
      <c r="K961" s="1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8"/>
      <c r="E962" s="1"/>
      <c r="F962" s="1"/>
      <c r="G962" s="1"/>
      <c r="H962" s="1"/>
      <c r="I962" s="1"/>
      <c r="J962" s="1"/>
      <c r="K962" s="1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8"/>
      <c r="E963" s="1"/>
      <c r="F963" s="1"/>
      <c r="G963" s="1"/>
      <c r="H963" s="1"/>
      <c r="I963" s="1"/>
      <c r="J963" s="1"/>
      <c r="K963" s="1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8"/>
      <c r="E964" s="1"/>
      <c r="F964" s="1"/>
      <c r="G964" s="1"/>
      <c r="H964" s="1"/>
      <c r="I964" s="1"/>
      <c r="J964" s="1"/>
      <c r="K964" s="1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8"/>
      <c r="E965" s="1"/>
      <c r="F965" s="1"/>
      <c r="G965" s="1"/>
      <c r="H965" s="1"/>
      <c r="I965" s="1"/>
      <c r="J965" s="1"/>
      <c r="K965" s="1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8"/>
      <c r="E966" s="1"/>
      <c r="F966" s="1"/>
      <c r="G966" s="1"/>
      <c r="H966" s="1"/>
      <c r="I966" s="1"/>
      <c r="J966" s="1"/>
      <c r="K966" s="1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8"/>
      <c r="E967" s="1"/>
      <c r="F967" s="1"/>
      <c r="G967" s="1"/>
      <c r="H967" s="1"/>
      <c r="I967" s="1"/>
      <c r="J967" s="1"/>
      <c r="K967" s="1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8"/>
      <c r="E968" s="1"/>
      <c r="F968" s="1"/>
      <c r="G968" s="1"/>
      <c r="H968" s="1"/>
      <c r="I968" s="1"/>
      <c r="J968" s="1"/>
      <c r="K968" s="1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8"/>
      <c r="E969" s="1"/>
      <c r="F969" s="1"/>
      <c r="G969" s="1"/>
      <c r="H969" s="1"/>
      <c r="I969" s="1"/>
      <c r="J969" s="1"/>
      <c r="K969" s="17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8"/>
      <c r="E970" s="1"/>
      <c r="F970" s="1"/>
      <c r="G970" s="1"/>
      <c r="H970" s="1"/>
      <c r="I970" s="1"/>
      <c r="J970" s="1"/>
      <c r="K970" s="17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8"/>
      <c r="E971" s="1"/>
      <c r="F971" s="1"/>
      <c r="G971" s="1"/>
      <c r="H971" s="1"/>
      <c r="I971" s="1"/>
      <c r="J971" s="1"/>
      <c r="K971" s="17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8"/>
      <c r="E972" s="1"/>
      <c r="F972" s="1"/>
      <c r="G972" s="1"/>
      <c r="H972" s="1"/>
      <c r="I972" s="1"/>
      <c r="J972" s="1"/>
      <c r="K972" s="17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8"/>
      <c r="E973" s="1"/>
      <c r="F973" s="1"/>
      <c r="G973" s="1"/>
      <c r="H973" s="1"/>
      <c r="I973" s="1"/>
      <c r="J973" s="1"/>
      <c r="K973" s="17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8"/>
      <c r="E974" s="1"/>
      <c r="F974" s="1"/>
      <c r="G974" s="1"/>
      <c r="H974" s="1"/>
      <c r="I974" s="1"/>
      <c r="J974" s="1"/>
      <c r="K974" s="17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8"/>
      <c r="E975" s="1"/>
      <c r="F975" s="1"/>
      <c r="G975" s="1"/>
      <c r="H975" s="1"/>
      <c r="I975" s="1"/>
      <c r="J975" s="1"/>
      <c r="K975" s="17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8"/>
      <c r="E976" s="1"/>
      <c r="F976" s="1"/>
      <c r="G976" s="1"/>
      <c r="H976" s="1"/>
      <c r="I976" s="1"/>
      <c r="J976" s="1"/>
      <c r="K976" s="17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8"/>
      <c r="E977" s="1"/>
      <c r="F977" s="1"/>
      <c r="G977" s="1"/>
      <c r="H977" s="1"/>
      <c r="I977" s="1"/>
      <c r="J977" s="1"/>
      <c r="K977" s="17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8"/>
      <c r="E978" s="1"/>
      <c r="F978" s="1"/>
      <c r="G978" s="1"/>
      <c r="H978" s="1"/>
      <c r="I978" s="1"/>
      <c r="J978" s="1"/>
      <c r="K978" s="17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8"/>
      <c r="E979" s="1"/>
      <c r="F979" s="1"/>
      <c r="G979" s="1"/>
      <c r="H979" s="1"/>
      <c r="I979" s="1"/>
      <c r="J979" s="1"/>
      <c r="K979" s="17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8"/>
      <c r="E980" s="1"/>
      <c r="F980" s="1"/>
      <c r="G980" s="1"/>
      <c r="H980" s="1"/>
      <c r="I980" s="1"/>
      <c r="J980" s="1"/>
      <c r="K980" s="17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8"/>
      <c r="E981" s="1"/>
      <c r="F981" s="1"/>
      <c r="G981" s="1"/>
      <c r="H981" s="1"/>
      <c r="I981" s="1"/>
      <c r="J981" s="1"/>
      <c r="K981" s="17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8"/>
      <c r="E982" s="1"/>
      <c r="F982" s="1"/>
      <c r="G982" s="1"/>
      <c r="H982" s="1"/>
      <c r="I982" s="1"/>
      <c r="J982" s="1"/>
      <c r="K982" s="17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8"/>
      <c r="E983" s="1"/>
      <c r="F983" s="1"/>
      <c r="G983" s="1"/>
      <c r="H983" s="1"/>
      <c r="I983" s="1"/>
      <c r="J983" s="1"/>
      <c r="K983" s="17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8"/>
      <c r="E984" s="1"/>
      <c r="F984" s="1"/>
      <c r="G984" s="1"/>
      <c r="H984" s="1"/>
      <c r="I984" s="1"/>
      <c r="J984" s="1"/>
      <c r="K984" s="17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8"/>
      <c r="E985" s="1"/>
      <c r="F985" s="1"/>
      <c r="G985" s="1"/>
      <c r="H985" s="1"/>
      <c r="I985" s="1"/>
      <c r="J985" s="1"/>
      <c r="K985" s="17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8"/>
      <c r="E986" s="1"/>
      <c r="F986" s="1"/>
      <c r="G986" s="1"/>
      <c r="H986" s="1"/>
      <c r="I986" s="1"/>
      <c r="J986" s="1"/>
      <c r="K986" s="17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8"/>
      <c r="E987" s="1"/>
      <c r="F987" s="1"/>
      <c r="G987" s="1"/>
      <c r="H987" s="1"/>
      <c r="I987" s="1"/>
      <c r="J987" s="1"/>
      <c r="K987" s="17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8"/>
      <c r="E988" s="1"/>
      <c r="F988" s="1"/>
      <c r="G988" s="1"/>
      <c r="H988" s="1"/>
      <c r="I988" s="1"/>
      <c r="J988" s="1"/>
      <c r="K988" s="17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8"/>
      <c r="E989" s="1"/>
      <c r="F989" s="1"/>
      <c r="G989" s="1"/>
      <c r="H989" s="1"/>
      <c r="I989" s="1"/>
      <c r="J989" s="1"/>
      <c r="K989" s="17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8"/>
      <c r="E990" s="1"/>
      <c r="F990" s="1"/>
      <c r="G990" s="1"/>
      <c r="H990" s="1"/>
      <c r="I990" s="1"/>
      <c r="J990" s="1"/>
      <c r="K990" s="17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8"/>
      <c r="E991" s="1"/>
      <c r="F991" s="1"/>
      <c r="G991" s="1"/>
      <c r="H991" s="1"/>
      <c r="I991" s="1"/>
      <c r="J991" s="1"/>
      <c r="K991" s="17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8"/>
      <c r="E992" s="1"/>
      <c r="F992" s="1"/>
      <c r="G992" s="1"/>
      <c r="H992" s="1"/>
      <c r="I992" s="1"/>
      <c r="J992" s="1"/>
      <c r="K992" s="17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8"/>
      <c r="E993" s="1"/>
      <c r="F993" s="1"/>
      <c r="G993" s="1"/>
      <c r="H993" s="1"/>
      <c r="I993" s="1"/>
      <c r="J993" s="1"/>
      <c r="K993" s="17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8"/>
      <c r="E994" s="1"/>
      <c r="F994" s="1"/>
      <c r="G994" s="1"/>
      <c r="H994" s="1"/>
      <c r="I994" s="1"/>
      <c r="J994" s="1"/>
      <c r="K994" s="17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8"/>
      <c r="E995" s="1"/>
      <c r="F995" s="1"/>
      <c r="G995" s="1"/>
      <c r="H995" s="1"/>
      <c r="I995" s="1"/>
      <c r="J995" s="1"/>
      <c r="K995" s="17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8"/>
      <c r="E996" s="1"/>
      <c r="F996" s="1"/>
      <c r="G996" s="1"/>
      <c r="H996" s="1"/>
      <c r="I996" s="1"/>
      <c r="J996" s="1"/>
      <c r="K996" s="17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8"/>
      <c r="E997" s="1"/>
      <c r="F997" s="1"/>
      <c r="G997" s="1"/>
      <c r="H997" s="1"/>
      <c r="I997" s="1"/>
      <c r="J997" s="1"/>
      <c r="K997" s="17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8"/>
      <c r="E998" s="1"/>
      <c r="F998" s="1"/>
      <c r="G998" s="1"/>
      <c r="H998" s="1"/>
      <c r="I998" s="1"/>
      <c r="J998" s="1"/>
      <c r="K998" s="17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8"/>
      <c r="E999" s="1"/>
      <c r="F999" s="1"/>
      <c r="G999" s="1"/>
      <c r="H999" s="1"/>
      <c r="I999" s="1"/>
      <c r="J999" s="1"/>
      <c r="K999" s="17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8"/>
      <c r="E1000" s="1"/>
      <c r="F1000" s="1"/>
      <c r="G1000" s="1"/>
      <c r="H1000" s="1"/>
      <c r="I1000" s="1"/>
      <c r="J1000" s="1"/>
      <c r="K1000" s="17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2">
    <mergeCell ref="A16:C16"/>
    <mergeCell ref="D16:H16"/>
    <mergeCell ref="A17:C17"/>
    <mergeCell ref="D17:H17"/>
    <mergeCell ref="A18:C18"/>
    <mergeCell ref="D18:H18"/>
    <mergeCell ref="A19:F19"/>
    <mergeCell ref="A24:C24"/>
    <mergeCell ref="D24:H24"/>
    <mergeCell ref="A2:I4"/>
    <mergeCell ref="B7:K7"/>
    <mergeCell ref="B8:K8"/>
    <mergeCell ref="B9:K9"/>
    <mergeCell ref="B10:D10"/>
    <mergeCell ref="J10:K10"/>
    <mergeCell ref="D14:H14"/>
    <mergeCell ref="A14:C14"/>
    <mergeCell ref="A15:C15"/>
    <mergeCell ref="D15:H15"/>
    <mergeCell ref="A25:C25"/>
    <mergeCell ref="D25:H25"/>
    <mergeCell ref="A26:C26"/>
    <mergeCell ref="D26:H26"/>
    <mergeCell ref="A27:C27"/>
    <mergeCell ref="D27:H27"/>
    <mergeCell ref="A32:C32"/>
    <mergeCell ref="D32:H32"/>
    <mergeCell ref="D33:H33"/>
    <mergeCell ref="D34:H34"/>
    <mergeCell ref="A33:C33"/>
    <mergeCell ref="A34:C34"/>
    <mergeCell ref="A39:C39"/>
    <mergeCell ref="D39:H39"/>
    <mergeCell ref="A40:C40"/>
    <mergeCell ref="D40:H40"/>
    <mergeCell ref="D41:H41"/>
    <mergeCell ref="A41:C41"/>
    <mergeCell ref="A46:C46"/>
    <mergeCell ref="D46:H46"/>
    <mergeCell ref="A47:C47"/>
    <mergeCell ref="D47:H47"/>
    <mergeCell ref="A48:C48"/>
    <mergeCell ref="D48:H48"/>
    <mergeCell ref="A66:C66"/>
    <mergeCell ref="A67:C67"/>
    <mergeCell ref="A68:C68"/>
    <mergeCell ref="A57:C57"/>
    <mergeCell ref="D57:H57"/>
    <mergeCell ref="A58:C58"/>
    <mergeCell ref="D58:H58"/>
    <mergeCell ref="D59:H59"/>
    <mergeCell ref="A49:C49"/>
    <mergeCell ref="D49:H49"/>
    <mergeCell ref="A50:C50"/>
    <mergeCell ref="D50:H50"/>
    <mergeCell ref="A51:F51"/>
    <mergeCell ref="A55:C55"/>
    <mergeCell ref="D55:H55"/>
    <mergeCell ref="A56:C56"/>
    <mergeCell ref="D56:H56"/>
    <mergeCell ref="A73:C73"/>
    <mergeCell ref="D73:H73"/>
    <mergeCell ref="A74:C74"/>
    <mergeCell ref="D74:H74"/>
    <mergeCell ref="D75:H75"/>
    <mergeCell ref="A75:C75"/>
    <mergeCell ref="A80:C80"/>
    <mergeCell ref="D80:H80"/>
    <mergeCell ref="A81:C81"/>
    <mergeCell ref="D81:H81"/>
    <mergeCell ref="A59:C59"/>
    <mergeCell ref="A60:C60"/>
    <mergeCell ref="D60:H60"/>
    <mergeCell ref="A61:C61"/>
    <mergeCell ref="D61:H61"/>
    <mergeCell ref="A62:F62"/>
    <mergeCell ref="D66:H66"/>
    <mergeCell ref="D67:H67"/>
    <mergeCell ref="D68:H68"/>
    <mergeCell ref="A82:C82"/>
    <mergeCell ref="D82:H82"/>
    <mergeCell ref="A87:C87"/>
    <mergeCell ref="D87:H87"/>
    <mergeCell ref="A88:C88"/>
    <mergeCell ref="D88:H88"/>
    <mergeCell ref="A89:C89"/>
    <mergeCell ref="D89:H89"/>
    <mergeCell ref="D94:H94"/>
    <mergeCell ref="A94:C94"/>
    <mergeCell ref="D95:H95"/>
    <mergeCell ref="D96:H96"/>
    <mergeCell ref="D101:H101"/>
    <mergeCell ref="D102:H102"/>
    <mergeCell ref="D103:H103"/>
    <mergeCell ref="D108:H108"/>
    <mergeCell ref="D109:H109"/>
    <mergeCell ref="A124:C124"/>
    <mergeCell ref="A125:C125"/>
    <mergeCell ref="A111:C111"/>
    <mergeCell ref="A112:C112"/>
    <mergeCell ref="A117:C117"/>
    <mergeCell ref="A118:C118"/>
    <mergeCell ref="A119:C119"/>
    <mergeCell ref="A95:C95"/>
    <mergeCell ref="A96:C96"/>
    <mergeCell ref="A101:C101"/>
    <mergeCell ref="A102:C102"/>
    <mergeCell ref="A103:C103"/>
    <mergeCell ref="A108:C108"/>
    <mergeCell ref="A109:C109"/>
    <mergeCell ref="A110:C110"/>
    <mergeCell ref="A126:C126"/>
    <mergeCell ref="D125:H125"/>
    <mergeCell ref="D126:H126"/>
    <mergeCell ref="D129:H129"/>
    <mergeCell ref="D110:H110"/>
    <mergeCell ref="D111:H111"/>
    <mergeCell ref="D112:H112"/>
    <mergeCell ref="D117:H117"/>
    <mergeCell ref="D118:H118"/>
    <mergeCell ref="D119:H119"/>
    <mergeCell ref="D124:H124"/>
  </mergeCells>
  <pageMargins left="0.55118110236220474" right="0.27559055118110237" top="0.59055118110236227" bottom="0.59055118110236227" header="0" footer="0"/>
  <pageSetup paperSize="9" orientation="portrait"/>
  <rowBreaks count="1" manualBreakCount="1">
    <brk id="2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C66"/>
  </sheetPr>
  <dimension ref="A1:Z1000"/>
  <sheetViews>
    <sheetView showGridLines="0" workbookViewId="0"/>
  </sheetViews>
  <sheetFormatPr defaultColWidth="14.44140625" defaultRowHeight="15" customHeight="1"/>
  <cols>
    <col min="1" max="1" width="17.44140625" customWidth="1"/>
    <col min="2" max="2" width="9.88671875" customWidth="1"/>
    <col min="3" max="3" width="8.88671875" customWidth="1"/>
    <col min="4" max="4" width="13" customWidth="1"/>
    <col min="5" max="5" width="7.5546875" customWidth="1"/>
    <col min="6" max="6" width="10.6640625" customWidth="1"/>
    <col min="7" max="7" width="13.33203125" customWidth="1"/>
    <col min="8" max="8" width="13.6640625" customWidth="1"/>
    <col min="9" max="9" width="11.33203125" customWidth="1"/>
    <col min="10" max="10" width="13.109375" customWidth="1"/>
    <col min="11" max="11" width="6.44140625" customWidth="1"/>
    <col min="12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84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>
      <c r="A12" s="21" t="s">
        <v>85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hidden="1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hidden="1" customHeight="1">
      <c r="A15" s="150" t="s">
        <v>89</v>
      </c>
      <c r="B15" s="151"/>
      <c r="C15" s="152"/>
      <c r="D15" s="38">
        <f>+'[1]Dados Gerais'!E25*3.06</f>
        <v>0</v>
      </c>
      <c r="E15" s="60" t="s">
        <v>90</v>
      </c>
      <c r="F15" s="61">
        <v>28.5</v>
      </c>
      <c r="G15" s="62" t="s">
        <v>91</v>
      </c>
      <c r="H15" s="63" t="s">
        <v>92</v>
      </c>
      <c r="I15" s="153">
        <f>+D15*F15</f>
        <v>0</v>
      </c>
      <c r="J15" s="152"/>
      <c r="K15" s="4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hidden="1" customHeight="1">
      <c r="A16" s="133" t="s">
        <v>63</v>
      </c>
      <c r="B16" s="134"/>
      <c r="C16" s="134"/>
      <c r="D16" s="134"/>
      <c r="E16" s="134"/>
      <c r="F16" s="134"/>
      <c r="G16" s="134"/>
      <c r="H16" s="135"/>
      <c r="I16" s="139">
        <f>SUM(I15:J15)</f>
        <v>0</v>
      </c>
      <c r="J16" s="135"/>
      <c r="K16" s="3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hidden="1" customHeight="1">
      <c r="A17" s="149"/>
      <c r="B17" s="134"/>
      <c r="C17" s="134"/>
      <c r="D17" s="134"/>
      <c r="E17" s="134"/>
      <c r="F17" s="134"/>
      <c r="G17" s="134"/>
      <c r="H17" s="134"/>
      <c r="I17" s="33"/>
      <c r="J17" s="33"/>
      <c r="K17" s="3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hidden="1" customHeight="1">
      <c r="A18" s="1"/>
      <c r="B18" s="1"/>
      <c r="C18" s="1"/>
      <c r="D18" s="17"/>
      <c r="E18" s="35"/>
      <c r="F18" s="3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21" t="s">
        <v>93</v>
      </c>
      <c r="B19" s="22"/>
      <c r="C19" s="22"/>
      <c r="D19" s="56"/>
      <c r="E19" s="36"/>
      <c r="F19" s="23"/>
      <c r="G19" s="22"/>
      <c r="H19" s="22"/>
      <c r="I19" s="22"/>
      <c r="J19" s="22"/>
      <c r="K19" s="2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5"/>
      <c r="B20" s="26"/>
      <c r="C20" s="26"/>
      <c r="D20" s="57"/>
      <c r="E20" s="58"/>
      <c r="F20" s="26"/>
      <c r="G20" s="26"/>
      <c r="H20" s="26"/>
      <c r="I20" s="1"/>
      <c r="J20" s="1"/>
      <c r="K20" s="2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44" t="s">
        <v>14</v>
      </c>
      <c r="B21" s="134"/>
      <c r="C21" s="145"/>
      <c r="D21" s="162" t="s">
        <v>86</v>
      </c>
      <c r="E21" s="135"/>
      <c r="F21" s="143" t="s">
        <v>87</v>
      </c>
      <c r="G21" s="135"/>
      <c r="H21" s="59" t="s">
        <v>88</v>
      </c>
      <c r="I21" s="143" t="s">
        <v>62</v>
      </c>
      <c r="J21" s="135"/>
      <c r="K21" s="2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50" t="s">
        <v>94</v>
      </c>
      <c r="B22" s="151"/>
      <c r="C22" s="152"/>
      <c r="D22" s="60">
        <v>10</v>
      </c>
      <c r="E22" s="60" t="s">
        <v>95</v>
      </c>
      <c r="F22" s="61">
        <v>150</v>
      </c>
      <c r="G22" s="62" t="s">
        <v>96</v>
      </c>
      <c r="H22" s="63" t="s">
        <v>97</v>
      </c>
      <c r="I22" s="163">
        <f>F22*D22</f>
        <v>1500</v>
      </c>
      <c r="J22" s="138"/>
      <c r="K22" s="4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33" t="s">
        <v>63</v>
      </c>
      <c r="B23" s="134"/>
      <c r="C23" s="134"/>
      <c r="D23" s="134"/>
      <c r="E23" s="134"/>
      <c r="F23" s="134"/>
      <c r="G23" s="134"/>
      <c r="H23" s="135"/>
      <c r="I23" s="160">
        <f>SUM(I22:J22)</f>
        <v>1500</v>
      </c>
      <c r="J23" s="135"/>
      <c r="K23" s="3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49"/>
      <c r="B24" s="134"/>
      <c r="C24" s="134"/>
      <c r="D24" s="134"/>
      <c r="E24" s="134"/>
      <c r="F24" s="134"/>
      <c r="G24" s="134"/>
      <c r="H24" s="134"/>
      <c r="I24" s="33"/>
      <c r="J24" s="33"/>
      <c r="K24" s="3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7"/>
      <c r="E25" s="35"/>
      <c r="F25" s="3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21" t="s">
        <v>98</v>
      </c>
      <c r="B26" s="22"/>
      <c r="C26" s="22"/>
      <c r="D26" s="56"/>
      <c r="E26" s="36"/>
      <c r="F26" s="36"/>
      <c r="G26" s="22"/>
      <c r="H26" s="22"/>
      <c r="I26" s="22"/>
      <c r="J26" s="22"/>
      <c r="K26" s="2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37"/>
      <c r="B27" s="1"/>
      <c r="C27" s="1"/>
      <c r="D27" s="17"/>
      <c r="E27" s="35"/>
      <c r="F27" s="35"/>
      <c r="G27" s="1"/>
      <c r="H27" s="1"/>
      <c r="I27" s="1"/>
      <c r="J27" s="1"/>
      <c r="K27" s="2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44" t="s">
        <v>14</v>
      </c>
      <c r="B28" s="134"/>
      <c r="C28" s="145"/>
      <c r="D28" s="162" t="s">
        <v>86</v>
      </c>
      <c r="E28" s="135"/>
      <c r="F28" s="143" t="s">
        <v>87</v>
      </c>
      <c r="G28" s="135"/>
      <c r="H28" s="59" t="s">
        <v>88</v>
      </c>
      <c r="I28" s="143" t="s">
        <v>62</v>
      </c>
      <c r="J28" s="135"/>
      <c r="K28" s="2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50" t="s">
        <v>99</v>
      </c>
      <c r="B29" s="151"/>
      <c r="C29" s="152"/>
      <c r="D29" s="60">
        <f>'Dados Gerais'!E25*1.5</f>
        <v>3290.07</v>
      </c>
      <c r="E29" s="60" t="s">
        <v>90</v>
      </c>
      <c r="F29" s="61">
        <v>1.5</v>
      </c>
      <c r="G29" s="62" t="s">
        <v>100</v>
      </c>
      <c r="H29" s="63" t="s">
        <v>97</v>
      </c>
      <c r="I29" s="161">
        <f>D29*80</f>
        <v>263205.60000000003</v>
      </c>
      <c r="J29" s="152"/>
      <c r="K29" s="2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33" t="s">
        <v>63</v>
      </c>
      <c r="B30" s="134"/>
      <c r="C30" s="134"/>
      <c r="D30" s="134"/>
      <c r="E30" s="134"/>
      <c r="F30" s="134"/>
      <c r="G30" s="134"/>
      <c r="H30" s="135"/>
      <c r="I30" s="160">
        <f>SUM(I29:J29)</f>
        <v>263205.60000000003</v>
      </c>
      <c r="J30" s="135"/>
      <c r="K30" s="2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40"/>
      <c r="B31" s="33"/>
      <c r="C31" s="33"/>
      <c r="D31" s="43"/>
      <c r="E31" s="42"/>
      <c r="F31" s="41"/>
      <c r="G31" s="33"/>
      <c r="H31" s="33"/>
      <c r="I31" s="33"/>
      <c r="J31" s="33"/>
      <c r="K31" s="3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7"/>
      <c r="E32" s="35"/>
      <c r="F32" s="3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21" t="s">
        <v>101</v>
      </c>
      <c r="B33" s="22"/>
      <c r="C33" s="22"/>
      <c r="D33" s="56"/>
      <c r="E33" s="36"/>
      <c r="F33" s="36"/>
      <c r="G33" s="22"/>
      <c r="H33" s="22"/>
      <c r="I33" s="22"/>
      <c r="J33" s="22"/>
      <c r="K33" s="2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37"/>
      <c r="B34" s="1"/>
      <c r="C34" s="1"/>
      <c r="D34" s="17"/>
      <c r="E34" s="35"/>
      <c r="F34" s="35"/>
      <c r="G34" s="1"/>
      <c r="H34" s="1"/>
      <c r="I34" s="1"/>
      <c r="J34" s="1"/>
      <c r="K34" s="2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44" t="s">
        <v>14</v>
      </c>
      <c r="B35" s="134"/>
      <c r="C35" s="145"/>
      <c r="D35" s="162" t="s">
        <v>86</v>
      </c>
      <c r="E35" s="135"/>
      <c r="F35" s="143" t="s">
        <v>87</v>
      </c>
      <c r="G35" s="135"/>
      <c r="H35" s="59" t="s">
        <v>88</v>
      </c>
      <c r="I35" s="143" t="s">
        <v>62</v>
      </c>
      <c r="J35" s="135"/>
      <c r="K35" s="2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50" t="s">
        <v>102</v>
      </c>
      <c r="B36" s="151"/>
      <c r="C36" s="152"/>
      <c r="D36" s="60">
        <f>Infraestrutura!D29*1.3</f>
        <v>1389.3776000000003</v>
      </c>
      <c r="E36" s="60" t="s">
        <v>90</v>
      </c>
      <c r="F36" s="61">
        <v>0.5</v>
      </c>
      <c r="G36" s="62" t="s">
        <v>103</v>
      </c>
      <c r="H36" s="63" t="s">
        <v>97</v>
      </c>
      <c r="I36" s="161">
        <f>+ROUNDUP((F36*'Dados Gerais'!$E$13*65),0)</f>
        <v>86837</v>
      </c>
      <c r="J36" s="152"/>
      <c r="K36" s="2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48" t="s">
        <v>104</v>
      </c>
      <c r="B37" s="137"/>
      <c r="C37" s="138"/>
      <c r="D37" s="64">
        <f>D36-Infraestrutura!D29</f>
        <v>320.62560000000008</v>
      </c>
      <c r="E37" s="64" t="s">
        <v>90</v>
      </c>
      <c r="F37" s="65">
        <v>0.2</v>
      </c>
      <c r="G37" s="66" t="s">
        <v>103</v>
      </c>
      <c r="H37" s="67" t="s">
        <v>97</v>
      </c>
      <c r="I37" s="163">
        <f>+ROUNDUP((F37*'Dados Gerais'!$E$13*15),0)</f>
        <v>8016</v>
      </c>
      <c r="J37" s="138"/>
      <c r="K37" s="2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64" t="s">
        <v>105</v>
      </c>
      <c r="B38" s="157"/>
      <c r="C38" s="158"/>
      <c r="D38" s="68">
        <f>Infraestrutura!D19*F38</f>
        <v>2189.0617610213681</v>
      </c>
      <c r="E38" s="68" t="s">
        <v>90</v>
      </c>
      <c r="F38" s="32">
        <v>1.3</v>
      </c>
      <c r="G38" s="69" t="s">
        <v>106</v>
      </c>
      <c r="H38" s="70" t="s">
        <v>97</v>
      </c>
      <c r="I38" s="159">
        <f>+D38*45</f>
        <v>98507.779245961559</v>
      </c>
      <c r="J38" s="158"/>
      <c r="K38" s="2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33" t="s">
        <v>63</v>
      </c>
      <c r="B39" s="134"/>
      <c r="C39" s="134"/>
      <c r="D39" s="134"/>
      <c r="E39" s="134"/>
      <c r="F39" s="134"/>
      <c r="G39" s="134"/>
      <c r="H39" s="135"/>
      <c r="I39" s="160">
        <f>SUM(I36:J38)</f>
        <v>193360.77924596157</v>
      </c>
      <c r="J39" s="135"/>
      <c r="K39" s="2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40"/>
      <c r="B40" s="33"/>
      <c r="C40" s="33"/>
      <c r="D40" s="43"/>
      <c r="E40" s="42"/>
      <c r="F40" s="41"/>
      <c r="G40" s="33"/>
      <c r="H40" s="33"/>
      <c r="I40" s="33"/>
      <c r="J40" s="33"/>
      <c r="K40" s="34"/>
      <c r="L40" s="1"/>
      <c r="M40" s="1"/>
      <c r="N40" s="1"/>
      <c r="O40" s="1"/>
      <c r="P40" s="7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7"/>
      <c r="E41" s="35"/>
      <c r="F41" s="1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21" t="s">
        <v>107</v>
      </c>
      <c r="B42" s="22"/>
      <c r="C42" s="22"/>
      <c r="D42" s="56"/>
      <c r="E42" s="36"/>
      <c r="F42" s="36"/>
      <c r="G42" s="22"/>
      <c r="H42" s="22"/>
      <c r="I42" s="22"/>
      <c r="J42" s="22"/>
      <c r="K42" s="24"/>
      <c r="L42" s="1"/>
      <c r="M42" s="1"/>
      <c r="N42" s="1"/>
      <c r="O42" s="1"/>
      <c r="P42" s="7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37"/>
      <c r="B43" s="1"/>
      <c r="C43" s="1"/>
      <c r="D43" s="17"/>
      <c r="E43" s="35"/>
      <c r="F43" s="35"/>
      <c r="G43" s="1"/>
      <c r="H43" s="1"/>
      <c r="I43" s="1"/>
      <c r="J43" s="1"/>
      <c r="K43" s="2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44" t="s">
        <v>14</v>
      </c>
      <c r="B44" s="134"/>
      <c r="C44" s="145"/>
      <c r="D44" s="162" t="s">
        <v>86</v>
      </c>
      <c r="E44" s="135"/>
      <c r="F44" s="143" t="s">
        <v>87</v>
      </c>
      <c r="G44" s="135"/>
      <c r="H44" s="59" t="s">
        <v>88</v>
      </c>
      <c r="I44" s="143" t="s">
        <v>62</v>
      </c>
      <c r="J44" s="135"/>
      <c r="K44" s="2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0.75" customHeight="1">
      <c r="A45" s="150" t="s">
        <v>108</v>
      </c>
      <c r="B45" s="151"/>
      <c r="C45" s="152"/>
      <c r="D45" s="64">
        <f>+F45*'Dados Gerais'!E22</f>
        <v>1015.6950000000001</v>
      </c>
      <c r="E45" s="72" t="s">
        <v>109</v>
      </c>
      <c r="F45" s="65">
        <v>0.5</v>
      </c>
      <c r="G45" s="66" t="s">
        <v>110</v>
      </c>
      <c r="H45" s="63" t="s">
        <v>97</v>
      </c>
      <c r="I45" s="159">
        <f>ROUNDUP((D45*35),0)</f>
        <v>35550</v>
      </c>
      <c r="J45" s="158"/>
      <c r="K45" s="2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33" t="s">
        <v>63</v>
      </c>
      <c r="B46" s="134"/>
      <c r="C46" s="134"/>
      <c r="D46" s="134"/>
      <c r="E46" s="134"/>
      <c r="F46" s="134"/>
      <c r="G46" s="134"/>
      <c r="H46" s="135"/>
      <c r="I46" s="160">
        <f>SUM(I45:J45)</f>
        <v>35550</v>
      </c>
      <c r="J46" s="135"/>
      <c r="K46" s="2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40"/>
      <c r="B47" s="33"/>
      <c r="C47" s="33"/>
      <c r="D47" s="43"/>
      <c r="E47" s="42"/>
      <c r="F47" s="41"/>
      <c r="G47" s="33"/>
      <c r="H47" s="33"/>
      <c r="I47" s="33"/>
      <c r="J47" s="33"/>
      <c r="K47" s="34"/>
      <c r="L47" s="1"/>
      <c r="M47" s="1"/>
      <c r="N47" s="1"/>
      <c r="O47" s="1"/>
      <c r="P47" s="7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7"/>
      <c r="E48" s="35"/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7"/>
      <c r="E49" s="35"/>
      <c r="F49" s="18"/>
      <c r="G49" s="1"/>
      <c r="H49" s="1"/>
      <c r="I49" s="1"/>
      <c r="J49" s="17">
        <f>I46+I39+I23+I30</f>
        <v>493616.37924596161</v>
      </c>
      <c r="K49" s="1">
        <f>J49/'Dados Gerais'!E15</f>
        <v>9.3993450238434129</v>
      </c>
      <c r="L49" s="1"/>
      <c r="M49" s="1"/>
      <c r="N49" s="1"/>
      <c r="O49" s="7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7"/>
      <c r="E50" s="35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7"/>
      <c r="E51" s="35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7"/>
      <c r="E52" s="35"/>
      <c r="F52" s="18"/>
      <c r="G52" s="1"/>
      <c r="H52" s="1"/>
      <c r="I52" s="1"/>
      <c r="J52" s="1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7"/>
      <c r="E53" s="35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7"/>
      <c r="E54" s="35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2">
    <mergeCell ref="A44:C44"/>
    <mergeCell ref="A2:K4"/>
    <mergeCell ref="B7:K7"/>
    <mergeCell ref="B8:K8"/>
    <mergeCell ref="B9:K9"/>
    <mergeCell ref="B10:D10"/>
    <mergeCell ref="J10:K10"/>
    <mergeCell ref="A14:C14"/>
    <mergeCell ref="I14:J14"/>
    <mergeCell ref="D14:E14"/>
    <mergeCell ref="F14:G14"/>
    <mergeCell ref="A15:C15"/>
    <mergeCell ref="I15:J15"/>
    <mergeCell ref="A16:H16"/>
    <mergeCell ref="I16:J16"/>
    <mergeCell ref="A17:H17"/>
    <mergeCell ref="A21:C21"/>
    <mergeCell ref="D21:E21"/>
    <mergeCell ref="F21:G21"/>
    <mergeCell ref="I21:J21"/>
    <mergeCell ref="A22:C22"/>
    <mergeCell ref="I22:J22"/>
    <mergeCell ref="I23:J23"/>
    <mergeCell ref="A23:H23"/>
    <mergeCell ref="A24:H24"/>
    <mergeCell ref="A28:C28"/>
    <mergeCell ref="D28:E28"/>
    <mergeCell ref="F28:G28"/>
    <mergeCell ref="I28:J28"/>
    <mergeCell ref="I29:J29"/>
    <mergeCell ref="A29:C29"/>
    <mergeCell ref="A30:H30"/>
    <mergeCell ref="I30:J30"/>
    <mergeCell ref="A35:C35"/>
    <mergeCell ref="D35:E35"/>
    <mergeCell ref="F35:G35"/>
    <mergeCell ref="A45:C45"/>
    <mergeCell ref="I45:J45"/>
    <mergeCell ref="A46:H46"/>
    <mergeCell ref="I46:J46"/>
    <mergeCell ref="I35:J35"/>
    <mergeCell ref="I36:J36"/>
    <mergeCell ref="A36:C36"/>
    <mergeCell ref="D44:E44"/>
    <mergeCell ref="F44:G44"/>
    <mergeCell ref="A37:C37"/>
    <mergeCell ref="I37:J37"/>
    <mergeCell ref="A38:C38"/>
    <mergeCell ref="I38:J38"/>
    <mergeCell ref="A39:H39"/>
    <mergeCell ref="I39:J39"/>
    <mergeCell ref="I44:J44"/>
  </mergeCells>
  <pageMargins left="0.55118110236220474" right="0.27559055118110237" top="0.59055118110236227" bottom="0.59055118110236227" header="0" footer="0"/>
  <pageSetup paperSize="9" scale="9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3C66"/>
  </sheetPr>
  <dimension ref="A1:Z1000"/>
  <sheetViews>
    <sheetView showGridLines="0" workbookViewId="0"/>
  </sheetViews>
  <sheetFormatPr defaultColWidth="14.44140625" defaultRowHeight="15" customHeight="1"/>
  <cols>
    <col min="1" max="1" width="19.44140625" customWidth="1"/>
    <col min="2" max="2" width="16.109375" customWidth="1"/>
    <col min="3" max="3" width="10.33203125" customWidth="1"/>
    <col min="4" max="4" width="14.109375" customWidth="1"/>
    <col min="5" max="5" width="7.5546875" customWidth="1"/>
    <col min="6" max="6" width="13.109375" customWidth="1"/>
    <col min="7" max="8" width="13.33203125" customWidth="1"/>
    <col min="9" max="10" width="15.6640625" customWidth="1"/>
    <col min="11" max="11" width="8" customWidth="1"/>
    <col min="12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111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21" t="s">
        <v>112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25" customHeight="1">
      <c r="A15" s="150" t="s">
        <v>113</v>
      </c>
      <c r="B15" s="151"/>
      <c r="C15" s="152"/>
      <c r="D15" s="38">
        <f>ROUNDUP(F15*'Dados Gerais'!E27,0)</f>
        <v>268</v>
      </c>
      <c r="E15" s="60" t="s">
        <v>28</v>
      </c>
      <c r="F15" s="61">
        <v>0.1</v>
      </c>
      <c r="G15" s="62" t="s">
        <v>114</v>
      </c>
      <c r="H15" s="63" t="s">
        <v>97</v>
      </c>
      <c r="I15" s="169" t="s">
        <v>115</v>
      </c>
      <c r="J15" s="170"/>
      <c r="K15" s="4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>
      <c r="A16" s="148" t="s">
        <v>116</v>
      </c>
      <c r="B16" s="137"/>
      <c r="C16" s="138"/>
      <c r="D16" s="73">
        <f>D15</f>
        <v>268</v>
      </c>
      <c r="E16" s="74" t="s">
        <v>28</v>
      </c>
      <c r="F16" s="65">
        <v>100</v>
      </c>
      <c r="G16" s="66" t="s">
        <v>117</v>
      </c>
      <c r="H16" s="67" t="s">
        <v>97</v>
      </c>
      <c r="I16" s="169" t="s">
        <v>115</v>
      </c>
      <c r="J16" s="170"/>
      <c r="K16" s="4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>
      <c r="A17" s="148" t="s">
        <v>118</v>
      </c>
      <c r="B17" s="137"/>
      <c r="C17" s="138"/>
      <c r="D17" s="73">
        <f>ROUNDUP((F17*D16),0)</f>
        <v>2144</v>
      </c>
      <c r="E17" s="64" t="s">
        <v>23</v>
      </c>
      <c r="F17" s="75">
        <v>8</v>
      </c>
      <c r="G17" s="76" t="s">
        <v>119</v>
      </c>
      <c r="H17" s="67" t="s">
        <v>97</v>
      </c>
      <c r="I17" s="169">
        <f>+ROUNDUP((D17*120),0)</f>
        <v>257280</v>
      </c>
      <c r="J17" s="170"/>
      <c r="K17" s="4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48" t="s">
        <v>120</v>
      </c>
      <c r="B18" s="137"/>
      <c r="C18" s="138"/>
      <c r="D18" s="73">
        <f>F18*D19</f>
        <v>168389.3662324129</v>
      </c>
      <c r="E18" s="64" t="s">
        <v>121</v>
      </c>
      <c r="F18" s="65">
        <v>100</v>
      </c>
      <c r="G18" s="66" t="s">
        <v>122</v>
      </c>
      <c r="H18" s="67" t="s">
        <v>97</v>
      </c>
      <c r="I18" s="169">
        <f>+ROUNDUP((D18*8.5),0)</f>
        <v>1431310</v>
      </c>
      <c r="J18" s="170"/>
      <c r="K18" s="4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>
      <c r="A19" s="148" t="s">
        <v>123</v>
      </c>
      <c r="B19" s="137"/>
      <c r="C19" s="138"/>
      <c r="D19" s="39">
        <f>PI()*((1^2)/4)*D17</f>
        <v>1683.8936623241291</v>
      </c>
      <c r="E19" s="64" t="s">
        <v>90</v>
      </c>
      <c r="F19" s="65">
        <v>650</v>
      </c>
      <c r="G19" s="66" t="s">
        <v>91</v>
      </c>
      <c r="H19" s="67" t="s">
        <v>97</v>
      </c>
      <c r="I19" s="169">
        <f>+ROUNDUP((D19*F19),0)*1.1</f>
        <v>1203984.1000000001</v>
      </c>
      <c r="J19" s="170"/>
      <c r="K19" s="4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64" t="s">
        <v>124</v>
      </c>
      <c r="B20" s="157"/>
      <c r="C20" s="158"/>
      <c r="D20" s="39">
        <v>1</v>
      </c>
      <c r="E20" s="64" t="s">
        <v>125</v>
      </c>
      <c r="F20" s="65">
        <v>150000</v>
      </c>
      <c r="G20" s="66" t="s">
        <v>126</v>
      </c>
      <c r="H20" s="67" t="s">
        <v>97</v>
      </c>
      <c r="I20" s="169">
        <f>+ROUNDUP((D20*F20),0)</f>
        <v>150000</v>
      </c>
      <c r="J20" s="170"/>
      <c r="K20" s="4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33" t="s">
        <v>63</v>
      </c>
      <c r="B21" s="134"/>
      <c r="C21" s="134"/>
      <c r="D21" s="134"/>
      <c r="E21" s="134"/>
      <c r="F21" s="134"/>
      <c r="G21" s="134"/>
      <c r="H21" s="135"/>
      <c r="I21" s="160">
        <f>SUM(I15:I20)</f>
        <v>3042574.1</v>
      </c>
      <c r="J21" s="135"/>
      <c r="K21" s="4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67"/>
      <c r="B22" s="168"/>
      <c r="C22" s="168"/>
      <c r="D22" s="168"/>
      <c r="E22" s="168"/>
      <c r="F22" s="168"/>
      <c r="G22" s="168"/>
      <c r="H22" s="168"/>
      <c r="I22" s="33"/>
      <c r="J22" s="33"/>
      <c r="K22" s="3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7"/>
      <c r="E23" s="35"/>
      <c r="F23" s="3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21" t="s">
        <v>127</v>
      </c>
      <c r="B24" s="22"/>
      <c r="C24" s="22"/>
      <c r="D24" s="56"/>
      <c r="E24" s="36"/>
      <c r="F24" s="23"/>
      <c r="G24" s="22"/>
      <c r="H24" s="22"/>
      <c r="I24" s="22"/>
      <c r="J24" s="22"/>
      <c r="K24" s="2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5"/>
      <c r="B25" s="26"/>
      <c r="C25" s="26"/>
      <c r="D25" s="57"/>
      <c r="E25" s="58"/>
      <c r="F25" s="26"/>
      <c r="G25" s="26"/>
      <c r="H25" s="26"/>
      <c r="I25" s="1"/>
      <c r="J25" s="1"/>
      <c r="K25" s="2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44" t="s">
        <v>14</v>
      </c>
      <c r="B26" s="134"/>
      <c r="C26" s="145"/>
      <c r="D26" s="162" t="s">
        <v>86</v>
      </c>
      <c r="E26" s="135"/>
      <c r="F26" s="143" t="s">
        <v>87</v>
      </c>
      <c r="G26" s="135"/>
      <c r="H26" s="59" t="s">
        <v>88</v>
      </c>
      <c r="I26" s="143" t="s">
        <v>62</v>
      </c>
      <c r="J26" s="135"/>
      <c r="K26" s="2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.75" customHeight="1">
      <c r="A27" s="150" t="s">
        <v>128</v>
      </c>
      <c r="B27" s="151"/>
      <c r="C27" s="152"/>
      <c r="D27" s="77">
        <f>D29/0.4</f>
        <v>2671.88</v>
      </c>
      <c r="E27" s="60" t="s">
        <v>19</v>
      </c>
      <c r="F27" s="61">
        <v>0.76</v>
      </c>
      <c r="G27" s="62" t="s">
        <v>129</v>
      </c>
      <c r="H27" s="67" t="s">
        <v>97</v>
      </c>
      <c r="I27" s="161">
        <f>+D27*60</f>
        <v>160312.80000000002</v>
      </c>
      <c r="J27" s="152"/>
      <c r="K27" s="45"/>
      <c r="L27" s="1" t="s">
        <v>130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48" t="s">
        <v>120</v>
      </c>
      <c r="B28" s="137"/>
      <c r="C28" s="138"/>
      <c r="D28" s="78">
        <f>D29*F28</f>
        <v>106875.20000000001</v>
      </c>
      <c r="E28" s="64" t="s">
        <v>121</v>
      </c>
      <c r="F28" s="65">
        <v>100</v>
      </c>
      <c r="G28" s="66" t="s">
        <v>122</v>
      </c>
      <c r="H28" s="67" t="s">
        <v>97</v>
      </c>
      <c r="I28" s="163">
        <f>+D28*8.1</f>
        <v>865689.12000000011</v>
      </c>
      <c r="J28" s="138"/>
      <c r="K28" s="45"/>
      <c r="L28" s="1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48" t="s">
        <v>123</v>
      </c>
      <c r="B29" s="137"/>
      <c r="C29" s="138"/>
      <c r="D29" s="78">
        <f>F29*'Dados Gerais'!E13</f>
        <v>1068.7520000000002</v>
      </c>
      <c r="E29" s="64" t="s">
        <v>90</v>
      </c>
      <c r="F29" s="65">
        <v>0.4</v>
      </c>
      <c r="G29" s="66" t="s">
        <v>131</v>
      </c>
      <c r="H29" s="67" t="s">
        <v>97</v>
      </c>
      <c r="I29" s="163">
        <f>+D29*650*1.05</f>
        <v>729423.24000000022</v>
      </c>
      <c r="J29" s="138"/>
      <c r="K29" s="4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48" t="s">
        <v>132</v>
      </c>
      <c r="B30" s="137"/>
      <c r="C30" s="138"/>
      <c r="D30" s="79">
        <v>7093.74</v>
      </c>
      <c r="E30" s="64" t="s">
        <v>19</v>
      </c>
      <c r="F30" s="65">
        <v>240</v>
      </c>
      <c r="G30" s="66" t="s">
        <v>133</v>
      </c>
      <c r="H30" s="67" t="s">
        <v>97</v>
      </c>
      <c r="I30" s="159">
        <f>+D30*F30*1.5</f>
        <v>2553746.4</v>
      </c>
      <c r="J30" s="158"/>
      <c r="K30" s="45"/>
      <c r="L30" s="1" t="s">
        <v>134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33" t="s">
        <v>63</v>
      </c>
      <c r="B31" s="134"/>
      <c r="C31" s="134"/>
      <c r="D31" s="134"/>
      <c r="E31" s="134"/>
      <c r="F31" s="134"/>
      <c r="G31" s="134"/>
      <c r="H31" s="135"/>
      <c r="I31" s="160">
        <f>SUM(I27:J30)</f>
        <v>4309171.5600000005</v>
      </c>
      <c r="J31" s="135"/>
      <c r="K31" s="3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49"/>
      <c r="B32" s="134"/>
      <c r="C32" s="134"/>
      <c r="D32" s="134"/>
      <c r="E32" s="134"/>
      <c r="F32" s="134"/>
      <c r="G32" s="134"/>
      <c r="H32" s="134"/>
      <c r="I32" s="33"/>
      <c r="J32" s="33"/>
      <c r="K32" s="3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7"/>
      <c r="E33" s="35"/>
      <c r="F33" s="18"/>
      <c r="G33" s="1"/>
      <c r="H33" s="1"/>
      <c r="I33" s="1"/>
      <c r="J33" s="17"/>
      <c r="K33" s="8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21" t="s">
        <v>135</v>
      </c>
      <c r="B34" s="22"/>
      <c r="C34" s="22"/>
      <c r="D34" s="56"/>
      <c r="E34" s="36"/>
      <c r="F34" s="23"/>
      <c r="G34" s="22"/>
      <c r="H34" s="22"/>
      <c r="I34" s="22"/>
      <c r="J34" s="22"/>
      <c r="K34" s="2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25"/>
      <c r="B35" s="26"/>
      <c r="C35" s="26"/>
      <c r="D35" s="57"/>
      <c r="E35" s="58"/>
      <c r="F35" s="26"/>
      <c r="G35" s="26"/>
      <c r="H35" s="26"/>
      <c r="I35" s="1"/>
      <c r="J35" s="1"/>
      <c r="K35" s="2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73" t="s">
        <v>14</v>
      </c>
      <c r="B36" s="166"/>
      <c r="C36" s="174"/>
      <c r="D36" s="176" t="s">
        <v>86</v>
      </c>
      <c r="E36" s="174"/>
      <c r="F36" s="177" t="s">
        <v>87</v>
      </c>
      <c r="G36" s="174"/>
      <c r="H36" s="81" t="s">
        <v>88</v>
      </c>
      <c r="I36" s="143" t="s">
        <v>62</v>
      </c>
      <c r="J36" s="135"/>
      <c r="K36" s="2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75" t="s">
        <v>113</v>
      </c>
      <c r="B37" s="151"/>
      <c r="C37" s="152"/>
      <c r="D37" s="38">
        <v>237</v>
      </c>
      <c r="E37" s="60" t="s">
        <v>28</v>
      </c>
      <c r="F37" s="61">
        <v>1.25</v>
      </c>
      <c r="G37" s="62" t="s">
        <v>136</v>
      </c>
      <c r="H37" s="63" t="s">
        <v>97</v>
      </c>
      <c r="I37" s="163">
        <v>0</v>
      </c>
      <c r="J37" s="138"/>
      <c r="K37" s="4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48" t="s">
        <v>137</v>
      </c>
      <c r="B38" s="137"/>
      <c r="C38" s="138"/>
      <c r="D38" s="73">
        <v>143</v>
      </c>
      <c r="E38" s="74" t="s">
        <v>28</v>
      </c>
      <c r="F38" s="65">
        <v>100</v>
      </c>
      <c r="G38" s="66" t="s">
        <v>117</v>
      </c>
      <c r="H38" s="67" t="s">
        <v>97</v>
      </c>
      <c r="I38" s="163">
        <v>0</v>
      </c>
      <c r="J38" s="138"/>
      <c r="K38" s="4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71" t="s">
        <v>137</v>
      </c>
      <c r="B39" s="137"/>
      <c r="C39" s="138"/>
      <c r="D39" s="73">
        <f>ROUNDUP((F39*D38),0)</f>
        <v>429</v>
      </c>
      <c r="E39" s="64" t="s">
        <v>23</v>
      </c>
      <c r="F39" s="75">
        <v>3</v>
      </c>
      <c r="G39" s="76" t="s">
        <v>119</v>
      </c>
      <c r="H39" s="67" t="s">
        <v>97</v>
      </c>
      <c r="I39" s="163">
        <f>+ROUNDUP((D39*150),0)</f>
        <v>64350</v>
      </c>
      <c r="J39" s="138"/>
      <c r="K39" s="4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48" t="s">
        <v>138</v>
      </c>
      <c r="B40" s="137"/>
      <c r="C40" s="138"/>
      <c r="D40" s="73">
        <v>94</v>
      </c>
      <c r="E40" s="74" t="s">
        <v>28</v>
      </c>
      <c r="F40" s="65">
        <v>100</v>
      </c>
      <c r="G40" s="66" t="s">
        <v>117</v>
      </c>
      <c r="H40" s="67" t="s">
        <v>97</v>
      </c>
      <c r="I40" s="163">
        <v>0</v>
      </c>
      <c r="J40" s="138"/>
      <c r="K40" s="4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71" t="s">
        <v>138</v>
      </c>
      <c r="B41" s="137"/>
      <c r="C41" s="138"/>
      <c r="D41" s="73">
        <f>ROUNDUP((F41*D40),0)</f>
        <v>282</v>
      </c>
      <c r="E41" s="64" t="s">
        <v>23</v>
      </c>
      <c r="F41" s="75">
        <v>3</v>
      </c>
      <c r="G41" s="76" t="s">
        <v>119</v>
      </c>
      <c r="H41" s="67" t="s">
        <v>97</v>
      </c>
      <c r="I41" s="163">
        <f>+ROUNDUP((D41*150),0)</f>
        <v>42300</v>
      </c>
      <c r="J41" s="138"/>
      <c r="K41" s="3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71" t="s">
        <v>120</v>
      </c>
      <c r="B42" s="137"/>
      <c r="C42" s="138"/>
      <c r="D42" s="82">
        <f>D39*F42</f>
        <v>34320</v>
      </c>
      <c r="E42" s="64" t="s">
        <v>121</v>
      </c>
      <c r="F42" s="65">
        <v>80</v>
      </c>
      <c r="G42" s="66" t="s">
        <v>139</v>
      </c>
      <c r="H42" s="83" t="s">
        <v>97</v>
      </c>
      <c r="I42" s="163">
        <f>+D42*8.5</f>
        <v>291720</v>
      </c>
      <c r="J42" s="138"/>
      <c r="K42" s="4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71" t="s">
        <v>123</v>
      </c>
      <c r="B43" s="137"/>
      <c r="C43" s="138"/>
      <c r="D43" s="82">
        <f>PI()*(0.25^2)*D39</f>
        <v>84.233953024376333</v>
      </c>
      <c r="E43" s="64" t="s">
        <v>90</v>
      </c>
      <c r="F43" s="65">
        <f>D43/'Dados Gerais'!E13</f>
        <v>3.1526098860868129E-2</v>
      </c>
      <c r="G43" s="66" t="s">
        <v>131</v>
      </c>
      <c r="H43" s="83" t="s">
        <v>97</v>
      </c>
      <c r="I43" s="163">
        <f>+D43*630*1.2</f>
        <v>63680.868486428502</v>
      </c>
      <c r="J43" s="138"/>
      <c r="K43" s="2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71" t="s">
        <v>140</v>
      </c>
      <c r="B44" s="137"/>
      <c r="C44" s="138"/>
      <c r="D44" s="82">
        <f>'Dados Gerais'!E28*0.5*0.3</f>
        <v>40.339500000000001</v>
      </c>
      <c r="E44" s="64" t="s">
        <v>141</v>
      </c>
      <c r="F44" s="65">
        <v>50</v>
      </c>
      <c r="G44" s="66" t="s">
        <v>142</v>
      </c>
      <c r="H44" s="83" t="s">
        <v>97</v>
      </c>
      <c r="I44" s="163">
        <f>+D44*F44</f>
        <v>2016.9750000000001</v>
      </c>
      <c r="J44" s="138"/>
      <c r="K44" s="3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71" t="s">
        <v>143</v>
      </c>
      <c r="B45" s="137"/>
      <c r="C45" s="138"/>
      <c r="D45" s="82">
        <f>'Dados Gerais'!E28*0.5*0.3</f>
        <v>40.339500000000001</v>
      </c>
      <c r="E45" s="64" t="s">
        <v>144</v>
      </c>
      <c r="F45" s="65">
        <f>555+35</f>
        <v>590</v>
      </c>
      <c r="G45" s="66" t="s">
        <v>91</v>
      </c>
      <c r="H45" s="83" t="s">
        <v>97</v>
      </c>
      <c r="I45" s="163">
        <f>+D45*F45*1.05</f>
        <v>24990.320250000001</v>
      </c>
      <c r="J45" s="138"/>
      <c r="K45" s="4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71" t="s">
        <v>145</v>
      </c>
      <c r="B46" s="137"/>
      <c r="C46" s="138"/>
      <c r="D46" s="82">
        <f>D45*F46</f>
        <v>3227.16</v>
      </c>
      <c r="E46" s="64" t="s">
        <v>125</v>
      </c>
      <c r="F46" s="65">
        <v>80</v>
      </c>
      <c r="G46" s="66" t="s">
        <v>139</v>
      </c>
      <c r="H46" s="83" t="s">
        <v>97</v>
      </c>
      <c r="I46" s="163">
        <f>+D46*7.3</f>
        <v>23558.268</v>
      </c>
      <c r="J46" s="138"/>
      <c r="K46" s="4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172" t="s">
        <v>146</v>
      </c>
      <c r="B47" s="157"/>
      <c r="C47" s="158"/>
      <c r="D47" s="82">
        <f>D45</f>
        <v>40.339500000000001</v>
      </c>
      <c r="E47" s="64" t="s">
        <v>144</v>
      </c>
      <c r="F47" s="65">
        <v>950</v>
      </c>
      <c r="G47" s="66" t="s">
        <v>147</v>
      </c>
      <c r="H47" s="83" t="s">
        <v>97</v>
      </c>
      <c r="I47" s="163">
        <f t="shared" ref="I47:I50" si="0">+D47*F47</f>
        <v>38322.525000000001</v>
      </c>
      <c r="J47" s="138"/>
      <c r="K47" s="2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71" t="s">
        <v>148</v>
      </c>
      <c r="B48" s="137"/>
      <c r="C48" s="138"/>
      <c r="D48" s="82">
        <f t="shared" ref="D48:D49" si="1">D42</f>
        <v>34320</v>
      </c>
      <c r="E48" s="64" t="s">
        <v>121</v>
      </c>
      <c r="F48" s="65">
        <v>2.5</v>
      </c>
      <c r="G48" s="66" t="s">
        <v>149</v>
      </c>
      <c r="H48" s="83" t="s">
        <v>97</v>
      </c>
      <c r="I48" s="163">
        <f t="shared" si="0"/>
        <v>85800</v>
      </c>
      <c r="J48" s="138"/>
      <c r="K48" s="4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71" t="s">
        <v>150</v>
      </c>
      <c r="B49" s="137"/>
      <c r="C49" s="138"/>
      <c r="D49" s="82">
        <f t="shared" si="1"/>
        <v>84.233953024376333</v>
      </c>
      <c r="E49" s="64" t="s">
        <v>90</v>
      </c>
      <c r="F49" s="65">
        <v>600</v>
      </c>
      <c r="G49" s="66" t="s">
        <v>91</v>
      </c>
      <c r="H49" s="83" t="s">
        <v>97</v>
      </c>
      <c r="I49" s="163">
        <f t="shared" si="0"/>
        <v>50540.371814625803</v>
      </c>
      <c r="J49" s="138"/>
      <c r="K49" s="4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71" t="s">
        <v>124</v>
      </c>
      <c r="B50" s="137"/>
      <c r="C50" s="138"/>
      <c r="D50" s="82">
        <v>1</v>
      </c>
      <c r="E50" s="64" t="s">
        <v>125</v>
      </c>
      <c r="F50" s="65">
        <v>100000</v>
      </c>
      <c r="G50" s="66" t="s">
        <v>151</v>
      </c>
      <c r="H50" s="83" t="s">
        <v>97</v>
      </c>
      <c r="I50" s="163">
        <f t="shared" si="0"/>
        <v>100000</v>
      </c>
      <c r="J50" s="138"/>
      <c r="K50" s="4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33" t="s">
        <v>63</v>
      </c>
      <c r="B51" s="134"/>
      <c r="C51" s="134"/>
      <c r="D51" s="134"/>
      <c r="E51" s="134"/>
      <c r="F51" s="134"/>
      <c r="G51" s="134"/>
      <c r="H51" s="135"/>
      <c r="I51" s="160">
        <f>SUM(I37:J50)</f>
        <v>787279.32855105423</v>
      </c>
      <c r="J51" s="135"/>
      <c r="K51" s="2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65"/>
      <c r="B52" s="166"/>
      <c r="C52" s="166"/>
      <c r="D52" s="166"/>
      <c r="E52" s="166"/>
      <c r="F52" s="166"/>
      <c r="G52" s="166"/>
      <c r="H52" s="166"/>
      <c r="I52" s="33"/>
      <c r="J52" s="33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7"/>
      <c r="E53" s="35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7"/>
      <c r="E54" s="35"/>
      <c r="F54" s="18"/>
      <c r="G54" s="1"/>
      <c r="H54" s="1"/>
      <c r="I54" s="1"/>
      <c r="J54" s="84">
        <f>I21+I31</f>
        <v>7351745.6600000001</v>
      </c>
      <c r="K54" s="80">
        <f>J54/'Dados Gerais'!E15</f>
        <v>139.99048024184611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84">
        <f>I51</f>
        <v>787279.32855105423</v>
      </c>
      <c r="K55" s="1">
        <f>J55/'Dados Gerais'!E15</f>
        <v>14.99121656071277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84">
        <f>J54+J55</f>
        <v>8139024.9885510541</v>
      </c>
      <c r="K56" s="1">
        <f>J56/'Dados Gerais'!E15</f>
        <v>154.98169680255887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5">
    <mergeCell ref="I42:J42"/>
    <mergeCell ref="I43:J43"/>
    <mergeCell ref="I47:J47"/>
    <mergeCell ref="I48:J48"/>
    <mergeCell ref="D36:E36"/>
    <mergeCell ref="F36:G36"/>
    <mergeCell ref="I36:J36"/>
    <mergeCell ref="I44:J44"/>
    <mergeCell ref="I45:J45"/>
    <mergeCell ref="I37:J37"/>
    <mergeCell ref="I38:J38"/>
    <mergeCell ref="I39:J39"/>
    <mergeCell ref="I40:J40"/>
    <mergeCell ref="I41:J41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I19:J19"/>
    <mergeCell ref="I20:J20"/>
    <mergeCell ref="A2:K4"/>
    <mergeCell ref="B7:K7"/>
    <mergeCell ref="B8:K8"/>
    <mergeCell ref="B9:K9"/>
    <mergeCell ref="B10:D10"/>
    <mergeCell ref="J10:K10"/>
    <mergeCell ref="I21:J21"/>
    <mergeCell ref="D14:E14"/>
    <mergeCell ref="F14:G14"/>
    <mergeCell ref="A15:C15"/>
    <mergeCell ref="I15:J15"/>
    <mergeCell ref="A16:C16"/>
    <mergeCell ref="I16:J16"/>
    <mergeCell ref="I17:J17"/>
    <mergeCell ref="A17:C17"/>
    <mergeCell ref="A18:C18"/>
    <mergeCell ref="A19:C19"/>
    <mergeCell ref="A20:C20"/>
    <mergeCell ref="A21:H21"/>
    <mergeCell ref="A14:C14"/>
    <mergeCell ref="I14:J14"/>
    <mergeCell ref="I18:J18"/>
    <mergeCell ref="A22:H22"/>
    <mergeCell ref="A26:C26"/>
    <mergeCell ref="A31:H31"/>
    <mergeCell ref="I31:J31"/>
    <mergeCell ref="A32:H32"/>
    <mergeCell ref="I29:J29"/>
    <mergeCell ref="I30:J30"/>
    <mergeCell ref="A27:C27"/>
    <mergeCell ref="A28:C28"/>
    <mergeCell ref="A29:C29"/>
    <mergeCell ref="A30:C30"/>
    <mergeCell ref="D26:E26"/>
    <mergeCell ref="F26:G26"/>
    <mergeCell ref="I26:J26"/>
    <mergeCell ref="I27:J27"/>
    <mergeCell ref="I28:J28"/>
    <mergeCell ref="A51:H51"/>
    <mergeCell ref="I51:J51"/>
    <mergeCell ref="A52:H52"/>
    <mergeCell ref="I46:J46"/>
    <mergeCell ref="I49:J49"/>
    <mergeCell ref="A46:C46"/>
    <mergeCell ref="A47:C47"/>
    <mergeCell ref="A48:C48"/>
    <mergeCell ref="A49:C49"/>
    <mergeCell ref="A50:C50"/>
    <mergeCell ref="I50:J50"/>
  </mergeCells>
  <pageMargins left="0.55118110236220474" right="0.27559055118110237" top="0.59055118110236227" bottom="0.59055118110236227" header="0" footer="0"/>
  <pageSetup paperSize="9" scale="9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3C66"/>
  </sheetPr>
  <dimension ref="A1:Z1000"/>
  <sheetViews>
    <sheetView showGridLines="0" workbookViewId="0"/>
  </sheetViews>
  <sheetFormatPr defaultColWidth="14.44140625" defaultRowHeight="15" customHeight="1"/>
  <cols>
    <col min="1" max="1" width="17.44140625" customWidth="1"/>
    <col min="2" max="2" width="11.33203125" customWidth="1"/>
    <col min="3" max="3" width="8.88671875" customWidth="1"/>
    <col min="4" max="4" width="13" customWidth="1"/>
    <col min="5" max="5" width="10.44140625" customWidth="1"/>
    <col min="6" max="6" width="10.6640625" customWidth="1"/>
    <col min="7" max="7" width="16.109375" customWidth="1"/>
    <col min="8" max="8" width="12.88671875" customWidth="1"/>
    <col min="9" max="9" width="11.109375" customWidth="1"/>
    <col min="10" max="10" width="14.5546875" customWidth="1"/>
    <col min="11" max="11" width="11.6640625" customWidth="1"/>
    <col min="12" max="12" width="11.5546875" customWidth="1"/>
    <col min="13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2"/>
      <c r="M1" s="1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152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2"/>
      <c r="M2" s="1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2"/>
      <c r="M3" s="1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2"/>
      <c r="M4" s="1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2"/>
      <c r="M5" s="1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2"/>
      <c r="M6" s="1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2"/>
      <c r="M7" s="1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2"/>
      <c r="M8" s="1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21" t="s">
        <v>65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 t="s">
        <v>20</v>
      </c>
      <c r="M12" s="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50" t="s">
        <v>153</v>
      </c>
      <c r="B15" s="151"/>
      <c r="C15" s="152"/>
      <c r="D15" s="77">
        <f>(D16/8)</f>
        <v>16411.262500000001</v>
      </c>
      <c r="E15" s="60" t="s">
        <v>19</v>
      </c>
      <c r="F15" s="61">
        <v>25</v>
      </c>
      <c r="G15" s="62" t="s">
        <v>117</v>
      </c>
      <c r="H15" s="63" t="s">
        <v>97</v>
      </c>
      <c r="I15" s="153">
        <f>+D15*125</f>
        <v>2051407.8125</v>
      </c>
      <c r="J15" s="152"/>
      <c r="K15" s="45"/>
      <c r="L15" s="1"/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48" t="s">
        <v>154</v>
      </c>
      <c r="B16" s="137"/>
      <c r="C16" s="138"/>
      <c r="D16" s="85">
        <f>(+'Dados Gerais'!$E$15*F16)</f>
        <v>131290.1</v>
      </c>
      <c r="E16" s="74" t="s">
        <v>19</v>
      </c>
      <c r="F16" s="75">
        <v>2.5</v>
      </c>
      <c r="G16" s="76" t="s">
        <v>155</v>
      </c>
      <c r="H16" s="86" t="s">
        <v>97</v>
      </c>
      <c r="I16" s="136">
        <f>+D16*11.5</f>
        <v>1509836.1500000001</v>
      </c>
      <c r="J16" s="138"/>
      <c r="K16" s="45"/>
      <c r="L16" s="1"/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48" t="s">
        <v>156</v>
      </c>
      <c r="B17" s="137"/>
      <c r="C17" s="138"/>
      <c r="D17" s="85">
        <f>'Dados Gerais'!E15-'Dados Gerais'!E24</f>
        <v>32687.940000000002</v>
      </c>
      <c r="E17" s="74" t="s">
        <v>19</v>
      </c>
      <c r="F17" s="75">
        <v>60</v>
      </c>
      <c r="G17" s="76" t="s">
        <v>142</v>
      </c>
      <c r="H17" s="86" t="s">
        <v>97</v>
      </c>
      <c r="I17" s="136">
        <f t="shared" ref="I17:I18" si="0">+D17*F17</f>
        <v>1961276.4000000001</v>
      </c>
      <c r="J17" s="138"/>
      <c r="K17" s="45"/>
      <c r="L17" s="17"/>
      <c r="M17" s="1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48" t="s">
        <v>157</v>
      </c>
      <c r="B18" s="137"/>
      <c r="C18" s="138"/>
      <c r="D18" s="85">
        <f>('Dados Gerais'!E24)</f>
        <v>19828.099999999999</v>
      </c>
      <c r="E18" s="74" t="s">
        <v>19</v>
      </c>
      <c r="F18" s="75">
        <v>60</v>
      </c>
      <c r="G18" s="76" t="s">
        <v>142</v>
      </c>
      <c r="H18" s="86" t="s">
        <v>97</v>
      </c>
      <c r="I18" s="136">
        <f t="shared" si="0"/>
        <v>1189686</v>
      </c>
      <c r="J18" s="138"/>
      <c r="K18" s="45"/>
      <c r="L18" s="1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48" t="s">
        <v>158</v>
      </c>
      <c r="B19" s="137"/>
      <c r="C19" s="138"/>
      <c r="D19" s="78">
        <f>D20*F19</f>
        <v>1050320.8</v>
      </c>
      <c r="E19" s="64" t="s">
        <v>121</v>
      </c>
      <c r="F19" s="65">
        <v>80</v>
      </c>
      <c r="G19" s="66" t="s">
        <v>122</v>
      </c>
      <c r="H19" s="86" t="s">
        <v>97</v>
      </c>
      <c r="I19" s="136">
        <f>+D19*8.5</f>
        <v>8927726.8000000007</v>
      </c>
      <c r="J19" s="138"/>
      <c r="K19" s="45"/>
      <c r="L19" s="1"/>
      <c r="M19" s="1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48" t="s">
        <v>123</v>
      </c>
      <c r="B20" s="137"/>
      <c r="C20" s="138"/>
      <c r="D20" s="78">
        <f>+F20*'Dados Gerais'!E15</f>
        <v>13129.01</v>
      </c>
      <c r="E20" s="64" t="s">
        <v>90</v>
      </c>
      <c r="F20" s="65">
        <v>0.25</v>
      </c>
      <c r="G20" s="76" t="s">
        <v>159</v>
      </c>
      <c r="H20" s="67" t="s">
        <v>97</v>
      </c>
      <c r="I20" s="136">
        <f>+D20*550</f>
        <v>7220955.5</v>
      </c>
      <c r="J20" s="138"/>
      <c r="K20" s="45"/>
      <c r="L20" s="1"/>
      <c r="M20" s="1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48" t="s">
        <v>132</v>
      </c>
      <c r="B21" s="137"/>
      <c r="C21" s="138"/>
      <c r="D21" s="79">
        <f>(+'Dados Gerais'!E15)</f>
        <v>52516.04</v>
      </c>
      <c r="E21" s="64" t="s">
        <v>19</v>
      </c>
      <c r="F21" s="65">
        <v>240</v>
      </c>
      <c r="G21" s="66" t="s">
        <v>142</v>
      </c>
      <c r="H21" s="67" t="s">
        <v>97</v>
      </c>
      <c r="I21" s="156">
        <f>+D21*F21</f>
        <v>12603849.6</v>
      </c>
      <c r="J21" s="158"/>
      <c r="K21" s="45"/>
      <c r="L21" s="1"/>
      <c r="M21" s="1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33" t="s">
        <v>63</v>
      </c>
      <c r="B22" s="134"/>
      <c r="C22" s="134"/>
      <c r="D22" s="134"/>
      <c r="E22" s="134"/>
      <c r="F22" s="134"/>
      <c r="G22" s="134"/>
      <c r="H22" s="135"/>
      <c r="I22" s="139">
        <f>SUM(I15:J21)</f>
        <v>35464738.262500003</v>
      </c>
      <c r="J22" s="135"/>
      <c r="K22" s="31"/>
      <c r="L22" s="1"/>
      <c r="M22" s="1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49"/>
      <c r="B23" s="134"/>
      <c r="C23" s="134"/>
      <c r="D23" s="134"/>
      <c r="E23" s="134"/>
      <c r="F23" s="134"/>
      <c r="G23" s="134"/>
      <c r="H23" s="134"/>
      <c r="I23" s="33"/>
      <c r="J23" s="33"/>
      <c r="K23" s="34"/>
      <c r="L23" s="1"/>
      <c r="M23" s="1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7"/>
      <c r="E24" s="35"/>
      <c r="F24" s="35"/>
      <c r="G24" s="1"/>
      <c r="H24" s="1"/>
      <c r="I24" s="1"/>
      <c r="J24" s="17"/>
      <c r="K24" s="1"/>
      <c r="L24" s="1"/>
      <c r="M24" s="1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35"/>
      <c r="E25" s="35"/>
      <c r="F25" s="18"/>
      <c r="G25" s="35"/>
      <c r="H25" s="35"/>
      <c r="I25" s="18"/>
      <c r="J25" s="17">
        <f>I22</f>
        <v>35464738.262500003</v>
      </c>
      <c r="K25" s="1">
        <f>J25/'Dados Gerais'!E15</f>
        <v>675.3125</v>
      </c>
      <c r="L25" s="1"/>
      <c r="M25" s="1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7"/>
      <c r="E26" s="35"/>
      <c r="F26" s="18"/>
      <c r="G26" s="17"/>
      <c r="H26" s="17"/>
      <c r="I26" s="17"/>
      <c r="J26" s="1"/>
      <c r="K26" s="1"/>
      <c r="L26" s="1"/>
      <c r="M26" s="1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7"/>
      <c r="E27" s="35"/>
      <c r="F27" s="18"/>
      <c r="G27" s="17"/>
      <c r="H27" s="17"/>
      <c r="I27" s="17"/>
      <c r="J27" s="1"/>
      <c r="K27" s="1"/>
      <c r="L27" s="1"/>
      <c r="M27" s="1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7"/>
      <c r="E28" s="35"/>
      <c r="F28" s="18"/>
      <c r="G28" s="17"/>
      <c r="H28" s="17"/>
      <c r="I28" s="17"/>
      <c r="J28" s="1"/>
      <c r="K28" s="1"/>
      <c r="L28" s="1"/>
      <c r="M28" s="1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7"/>
      <c r="E29" s="35"/>
      <c r="F29" s="18"/>
      <c r="G29" s="17"/>
      <c r="H29" s="17"/>
      <c r="I29" s="17"/>
      <c r="J29" s="1"/>
      <c r="K29" s="1"/>
      <c r="L29" s="1"/>
      <c r="M29" s="1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7"/>
      <c r="E30" s="35"/>
      <c r="F30" s="18"/>
      <c r="G30" s="17"/>
      <c r="H30" s="17"/>
      <c r="I30" s="17"/>
      <c r="J30" s="1"/>
      <c r="K30" s="1"/>
      <c r="L30" s="1"/>
      <c r="M30" s="1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57"/>
      <c r="E31" s="58"/>
      <c r="F31" s="18"/>
      <c r="G31" s="57"/>
      <c r="H31" s="58"/>
      <c r="I31" s="57"/>
      <c r="J31" s="1"/>
      <c r="K31" s="1"/>
      <c r="L31" s="1"/>
      <c r="M31" s="1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7"/>
      <c r="E32" s="35"/>
      <c r="F32" s="18"/>
      <c r="G32" s="17"/>
      <c r="H32" s="17"/>
      <c r="I32" s="1"/>
      <c r="J32" s="1"/>
      <c r="K32" s="1"/>
      <c r="L32" s="1"/>
      <c r="M32" s="17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7"/>
      <c r="E33" s="35"/>
      <c r="F33" s="18"/>
      <c r="G33" s="1"/>
      <c r="H33" s="1"/>
      <c r="I33" s="1"/>
      <c r="J33" s="1"/>
      <c r="K33" s="1"/>
      <c r="L33" s="1"/>
      <c r="M33" s="17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7"/>
      <c r="E34" s="35"/>
      <c r="F34" s="18"/>
      <c r="G34" s="1"/>
      <c r="H34" s="1"/>
      <c r="I34" s="1"/>
      <c r="J34" s="1"/>
      <c r="K34" s="1"/>
      <c r="L34" s="1"/>
      <c r="M34" s="1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7"/>
      <c r="E35" s="35"/>
      <c r="F35" s="18"/>
      <c r="G35" s="1"/>
      <c r="H35" s="1"/>
      <c r="I35" s="1"/>
      <c r="J35" s="1"/>
      <c r="K35" s="1"/>
      <c r="L35" s="1"/>
      <c r="M35" s="17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7"/>
      <c r="E36" s="35"/>
      <c r="F36" s="18"/>
      <c r="G36" s="1"/>
      <c r="H36" s="1"/>
      <c r="I36" s="1"/>
      <c r="J36" s="1"/>
      <c r="K36" s="1"/>
      <c r="L36" s="1"/>
      <c r="M36" s="17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7"/>
      <c r="E37" s="35"/>
      <c r="F37" s="18"/>
      <c r="G37" s="1"/>
      <c r="H37" s="1"/>
      <c r="I37" s="1"/>
      <c r="J37" s="1"/>
      <c r="K37" s="1"/>
      <c r="L37" s="1"/>
      <c r="M37" s="17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7"/>
      <c r="E38" s="35"/>
      <c r="F38" s="18"/>
      <c r="G38" s="1"/>
      <c r="H38" s="1"/>
      <c r="I38" s="1"/>
      <c r="J38" s="1"/>
      <c r="K38" s="1"/>
      <c r="L38" s="1"/>
      <c r="M38" s="17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7"/>
      <c r="E39" s="35"/>
      <c r="F39" s="18"/>
      <c r="G39" s="1"/>
      <c r="H39" s="1"/>
      <c r="I39" s="1"/>
      <c r="J39" s="1"/>
      <c r="K39" s="1"/>
      <c r="L39" s="1"/>
      <c r="M39" s="17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7"/>
      <c r="E40" s="35"/>
      <c r="F40" s="18"/>
      <c r="G40" s="1"/>
      <c r="H40" s="1"/>
      <c r="I40" s="1"/>
      <c r="J40" s="1"/>
      <c r="K40" s="1"/>
      <c r="L40" s="1"/>
      <c r="M40" s="1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7"/>
      <c r="E41" s="35"/>
      <c r="F41" s="18"/>
      <c r="G41" s="1"/>
      <c r="H41" s="1"/>
      <c r="I41" s="1"/>
      <c r="J41" s="1"/>
      <c r="K41" s="1"/>
      <c r="L41" s="1"/>
      <c r="M41" s="1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7"/>
      <c r="E42" s="35"/>
      <c r="F42" s="18"/>
      <c r="G42" s="1"/>
      <c r="H42" s="1"/>
      <c r="I42" s="1"/>
      <c r="J42" s="1"/>
      <c r="K42" s="1"/>
      <c r="L42" s="1"/>
      <c r="M42" s="17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7"/>
      <c r="E43" s="35"/>
      <c r="F43" s="18"/>
      <c r="G43" s="1"/>
      <c r="H43" s="1"/>
      <c r="I43" s="1"/>
      <c r="J43" s="1"/>
      <c r="K43" s="1"/>
      <c r="L43" s="1"/>
      <c r="M43" s="17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7"/>
      <c r="E44" s="35"/>
      <c r="F44" s="18"/>
      <c r="G44" s="1"/>
      <c r="H44" s="1"/>
      <c r="I44" s="1"/>
      <c r="J44" s="1"/>
      <c r="K44" s="1"/>
      <c r="L44" s="1"/>
      <c r="M44" s="17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7"/>
      <c r="E45" s="35"/>
      <c r="F45" s="18"/>
      <c r="G45" s="1"/>
      <c r="H45" s="1"/>
      <c r="I45" s="1"/>
      <c r="J45" s="1"/>
      <c r="K45" s="1"/>
      <c r="L45" s="1"/>
      <c r="M45" s="17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7"/>
      <c r="E46" s="35"/>
      <c r="F46" s="18"/>
      <c r="G46" s="1"/>
      <c r="H46" s="1"/>
      <c r="I46" s="1"/>
      <c r="J46" s="1"/>
      <c r="K46" s="1"/>
      <c r="L46" s="1"/>
      <c r="M46" s="17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7"/>
      <c r="E47" s="35"/>
      <c r="F47" s="18"/>
      <c r="G47" s="1"/>
      <c r="H47" s="1"/>
      <c r="I47" s="1"/>
      <c r="J47" s="1"/>
      <c r="K47" s="1"/>
      <c r="L47" s="1"/>
      <c r="M47" s="17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7"/>
      <c r="E48" s="35"/>
      <c r="F48" s="18"/>
      <c r="G48" s="1"/>
      <c r="H48" s="1"/>
      <c r="I48" s="1"/>
      <c r="J48" s="1"/>
      <c r="K48" s="1"/>
      <c r="L48" s="1"/>
      <c r="M48" s="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7"/>
      <c r="E49" s="35"/>
      <c r="F49" s="18"/>
      <c r="G49" s="1"/>
      <c r="H49" s="1"/>
      <c r="I49" s="1"/>
      <c r="J49" s="1"/>
      <c r="K49" s="1"/>
      <c r="L49" s="1"/>
      <c r="M49" s="17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7"/>
      <c r="E50" s="35"/>
      <c r="F50" s="18"/>
      <c r="G50" s="1"/>
      <c r="H50" s="1"/>
      <c r="I50" s="1"/>
      <c r="J50" s="1"/>
      <c r="K50" s="1"/>
      <c r="L50" s="1"/>
      <c r="M50" s="17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7"/>
      <c r="E51" s="35"/>
      <c r="F51" s="18"/>
      <c r="G51" s="1"/>
      <c r="H51" s="1"/>
      <c r="I51" s="1"/>
      <c r="J51" s="1"/>
      <c r="K51" s="1"/>
      <c r="L51" s="1"/>
      <c r="M51" s="17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7"/>
      <c r="E52" s="35"/>
      <c r="F52" s="18"/>
      <c r="G52" s="1"/>
      <c r="H52" s="1"/>
      <c r="I52" s="1"/>
      <c r="J52" s="1"/>
      <c r="K52" s="1"/>
      <c r="L52" s="1"/>
      <c r="M52" s="17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7"/>
      <c r="E53" s="35"/>
      <c r="F53" s="18"/>
      <c r="G53" s="1"/>
      <c r="H53" s="1"/>
      <c r="I53" s="1"/>
      <c r="J53" s="1"/>
      <c r="K53" s="1"/>
      <c r="L53" s="1"/>
      <c r="M53" s="1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7"/>
      <c r="E54" s="35"/>
      <c r="F54" s="18"/>
      <c r="G54" s="1"/>
      <c r="H54" s="1"/>
      <c r="I54" s="1"/>
      <c r="J54" s="1"/>
      <c r="K54" s="1"/>
      <c r="L54" s="1"/>
      <c r="M54" s="17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1"/>
      <c r="K55" s="1"/>
      <c r="L55" s="1"/>
      <c r="M55" s="17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1"/>
      <c r="K56" s="1"/>
      <c r="L56" s="1"/>
      <c r="M56" s="17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7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7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7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7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7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7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7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7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7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7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7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7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7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7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7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7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7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7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7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7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7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7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7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7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7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7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7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7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7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7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7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7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7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7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7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7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7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7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7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7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7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7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7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7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7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7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7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7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7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7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7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7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7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7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7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7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7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7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7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7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7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7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7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7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7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7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7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7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7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7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7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7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7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7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7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7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7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7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7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7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7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7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7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7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7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7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7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7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7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7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7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7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7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7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7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7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7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7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7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7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7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7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7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7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7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7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7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7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7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7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7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7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7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7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7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7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7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7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7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7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7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7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7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7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7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7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7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7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7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7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7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7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7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7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7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7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7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7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7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7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7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7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7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7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7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7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7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7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7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7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7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7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7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7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7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7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7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7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7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7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7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7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7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7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7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7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7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7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7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7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7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7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7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7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7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7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7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7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7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7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7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7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7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7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7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7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7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7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7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7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7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7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7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7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7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7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7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7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7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7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7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7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7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7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7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7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7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7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7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7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7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7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7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7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7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7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7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7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7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7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7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7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7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7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7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7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7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7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7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7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7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7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7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7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7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7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7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7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7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7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7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7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7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7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7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7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7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7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7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7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7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7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7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7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7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7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7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7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7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7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7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7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7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7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7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7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7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7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7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7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7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7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7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7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7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7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7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7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7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7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7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7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7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7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7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7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7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7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7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7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7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7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7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7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7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7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7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7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7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7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7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7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7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7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7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7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7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7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7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7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7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7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7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7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7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7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7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7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7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7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7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7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7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7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7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7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7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7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7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7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7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7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7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7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7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7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7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7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7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7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7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7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7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7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7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7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7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7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7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7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7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7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7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7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7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7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7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7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7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7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7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7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7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7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7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7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7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7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7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7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7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7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7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7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7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7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7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7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7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7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7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7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7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7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7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7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7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7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7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7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7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7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7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7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7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7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7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7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7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7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7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7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7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7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7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7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7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7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7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7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7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7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7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7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7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7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7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7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7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7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7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7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7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7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7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7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7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7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7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7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7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7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7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7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7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7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7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7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7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7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7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7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7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7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7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7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7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7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7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7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7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7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7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7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7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7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7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7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7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7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7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7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7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7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7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7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7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7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7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7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7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7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7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7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7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7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7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7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7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7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7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7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7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7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7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7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7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7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7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7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7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7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7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7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7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7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7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7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7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7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7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7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7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7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7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7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7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7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7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7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7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7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7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7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7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7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7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7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7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7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7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7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7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7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7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7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7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7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7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7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7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7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7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7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7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7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7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7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7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7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7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7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7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7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7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7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7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7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7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7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7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7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7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7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7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7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7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7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7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7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7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7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7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7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7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7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7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7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7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7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7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7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7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7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7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7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7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7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7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7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7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7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7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7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7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7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7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7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7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7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7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7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7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7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7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7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7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7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7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7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7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7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7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7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7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7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7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7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7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7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7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7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7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7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7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7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7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7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7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7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7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7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7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7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7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7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7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7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7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7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7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7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7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7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7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7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7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7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7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7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7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7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7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7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7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7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7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7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7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7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7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7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7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7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7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7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7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7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7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7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7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7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7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7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7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7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7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7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7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7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7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7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7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7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7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7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7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7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7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7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7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7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7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7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7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7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7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7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7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7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7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7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7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7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7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7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7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7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7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7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7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7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7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7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7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7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7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7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7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7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7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7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7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7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7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7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7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7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7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7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7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7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7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7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7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7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7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7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7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7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7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7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7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7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7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7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7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7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7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7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7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7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7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7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7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7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7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7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7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7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7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7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7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7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7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7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7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7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7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7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7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7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7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7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7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7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7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7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7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7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7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7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7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7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7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7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7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7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7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7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7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7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7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7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7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7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7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7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7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7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7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7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7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7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7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7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7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7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7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7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7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7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7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7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7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7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7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7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7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7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7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7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7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7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7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7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7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7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7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7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7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7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7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7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7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7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7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7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7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7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7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7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7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7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7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7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7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7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7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7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7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7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7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7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7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7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7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7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7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7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7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7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7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7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7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7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7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7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7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7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7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7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7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7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7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7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7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7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7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7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7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7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7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7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7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7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7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7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7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7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7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7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7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7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7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7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7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7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7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7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7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7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7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7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7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7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7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7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7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7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7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7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7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7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7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7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7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7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7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7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7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7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7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7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7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7">
    <mergeCell ref="A2:K4"/>
    <mergeCell ref="B7:K7"/>
    <mergeCell ref="B8:K8"/>
    <mergeCell ref="B9:K9"/>
    <mergeCell ref="B10:D10"/>
    <mergeCell ref="J10:K10"/>
    <mergeCell ref="A14:C14"/>
    <mergeCell ref="I14:J14"/>
    <mergeCell ref="A17:C17"/>
    <mergeCell ref="A18:C18"/>
    <mergeCell ref="A19:C19"/>
    <mergeCell ref="D14:E14"/>
    <mergeCell ref="F14:G14"/>
    <mergeCell ref="A15:C15"/>
    <mergeCell ref="I15:J15"/>
    <mergeCell ref="A16:C16"/>
    <mergeCell ref="I16:J16"/>
    <mergeCell ref="I17:J17"/>
    <mergeCell ref="A20:C20"/>
    <mergeCell ref="A21:C21"/>
    <mergeCell ref="A22:H22"/>
    <mergeCell ref="A23:H23"/>
    <mergeCell ref="I18:J18"/>
    <mergeCell ref="I19:J19"/>
    <mergeCell ref="I20:J20"/>
    <mergeCell ref="I21:J21"/>
    <mergeCell ref="I22:J22"/>
  </mergeCells>
  <pageMargins left="0.55118110236220474" right="0.27559055118110237" top="0.59055118110236227" bottom="0.59055118110236227" header="0" footer="0"/>
  <pageSetup paperSize="9" scale="9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3C66"/>
  </sheetPr>
  <dimension ref="A1:Z1000"/>
  <sheetViews>
    <sheetView showGridLines="0" workbookViewId="0">
      <selection activeCell="D25" sqref="D25"/>
    </sheetView>
  </sheetViews>
  <sheetFormatPr defaultColWidth="14.44140625" defaultRowHeight="15" customHeight="1"/>
  <cols>
    <col min="1" max="1" width="17.44140625" customWidth="1"/>
    <col min="2" max="2" width="9.88671875" customWidth="1"/>
    <col min="3" max="3" width="8.88671875" customWidth="1"/>
    <col min="4" max="4" width="14" customWidth="1"/>
    <col min="5" max="5" width="7.5546875" customWidth="1"/>
    <col min="6" max="6" width="10.6640625" customWidth="1"/>
    <col min="7" max="7" width="15.88671875" customWidth="1"/>
    <col min="8" max="8" width="12.88671875" customWidth="1"/>
    <col min="9" max="9" width="11.109375" customWidth="1"/>
    <col min="10" max="10" width="14.5546875" customWidth="1"/>
    <col min="11" max="11" width="6.44140625" customWidth="1"/>
    <col min="12" max="12" width="13" customWidth="1"/>
    <col min="13" max="13" width="12.44140625" customWidth="1"/>
    <col min="14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160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21" t="s">
        <v>66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 t="s">
        <v>20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48" t="s">
        <v>161</v>
      </c>
      <c r="B15" s="137"/>
      <c r="C15" s="138"/>
      <c r="D15" s="78">
        <v>38509.019999999997</v>
      </c>
      <c r="E15" s="64" t="s">
        <v>19</v>
      </c>
      <c r="F15" s="65">
        <v>60</v>
      </c>
      <c r="G15" s="87" t="s">
        <v>162</v>
      </c>
      <c r="H15" s="83" t="s">
        <v>97</v>
      </c>
      <c r="I15" s="163">
        <f t="shared" ref="I15:I17" si="0">+D15*F15</f>
        <v>2310541.1999999997</v>
      </c>
      <c r="J15" s="138"/>
      <c r="K15" s="45"/>
      <c r="L15" s="1">
        <f>1355.33+780.39+629.5+649.5+649.5+649.5+649.5+649.5+983.27+1028.18+9083+6639.88+1017.59+881.36+816.98+838.05+820.55+742.56+735.06+753.12+605.54+793.13+565.74+511.28+513.44+499.63+375.77+320.32+189.67+236.58+796.26+708.25+322.15+363.91+547.12+32.21+15.08+19.47+239.17+15.57+133.44</f>
        <v>38156.05000000001</v>
      </c>
      <c r="M15" s="17">
        <f>L15-D17</f>
        <v>31000.660000000011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48" t="s">
        <v>163</v>
      </c>
      <c r="B16" s="137"/>
      <c r="C16" s="138"/>
      <c r="D16" s="78">
        <v>16798.23</v>
      </c>
      <c r="E16" s="64" t="s">
        <v>19</v>
      </c>
      <c r="F16" s="65">
        <v>80</v>
      </c>
      <c r="G16" s="76" t="s">
        <v>162</v>
      </c>
      <c r="H16" s="83" t="s">
        <v>97</v>
      </c>
      <c r="I16" s="163">
        <f t="shared" si="0"/>
        <v>1343858.4</v>
      </c>
      <c r="J16" s="138"/>
      <c r="K16" s="45"/>
      <c r="L16" s="1">
        <f>183.99+791.01+791.01+791.01+791.01+792.69+791.01+791.01+1184.52+1233.65+14.1+181.57+1233.65+1033.88+1027.05+1026.97+1027.38+893.11+892.93+894.08+671.43+492.77+491.8+491.72+246.88+246.88+45.43+69.77</f>
        <v>19122.310000000001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48" t="s">
        <v>164</v>
      </c>
      <c r="B17" s="137"/>
      <c r="C17" s="138"/>
      <c r="D17" s="78">
        <v>7155.39</v>
      </c>
      <c r="E17" s="64" t="s">
        <v>19</v>
      </c>
      <c r="F17" s="65">
        <v>50</v>
      </c>
      <c r="G17" s="76" t="s">
        <v>165</v>
      </c>
      <c r="H17" s="83" t="s">
        <v>97</v>
      </c>
      <c r="I17" s="163">
        <f t="shared" si="0"/>
        <v>357769.5</v>
      </c>
      <c r="J17" s="138"/>
      <c r="K17" s="45"/>
      <c r="L17" s="1" t="s">
        <v>166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48" t="s">
        <v>167</v>
      </c>
      <c r="B18" s="137"/>
      <c r="C18" s="138"/>
      <c r="D18" s="78">
        <f>D19+D20</f>
        <v>45664.409999999996</v>
      </c>
      <c r="E18" s="64" t="s">
        <v>19</v>
      </c>
      <c r="F18" s="65">
        <v>9</v>
      </c>
      <c r="G18" s="76" t="s">
        <v>168</v>
      </c>
      <c r="H18" s="83" t="s">
        <v>97</v>
      </c>
      <c r="I18" s="163">
        <f>F18*D18</f>
        <v>410979.68999999994</v>
      </c>
      <c r="J18" s="138"/>
      <c r="K18" s="45"/>
      <c r="L18" s="1" t="s">
        <v>169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48" t="s">
        <v>170</v>
      </c>
      <c r="B19" s="137"/>
      <c r="C19" s="138"/>
      <c r="D19" s="78">
        <f>D15</f>
        <v>38509.019999999997</v>
      </c>
      <c r="E19" s="64" t="s">
        <v>19</v>
      </c>
      <c r="F19" s="65">
        <v>35</v>
      </c>
      <c r="G19" s="66" t="s">
        <v>142</v>
      </c>
      <c r="H19" s="67" t="s">
        <v>97</v>
      </c>
      <c r="I19" s="163">
        <f t="shared" ref="I19:I20" si="1">+D19*F19</f>
        <v>1347815.7</v>
      </c>
      <c r="J19" s="138"/>
      <c r="K19" s="4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64" t="s">
        <v>171</v>
      </c>
      <c r="B20" s="157"/>
      <c r="C20" s="158"/>
      <c r="D20" s="79">
        <f>D17</f>
        <v>7155.39</v>
      </c>
      <c r="E20" s="68" t="s">
        <v>19</v>
      </c>
      <c r="F20" s="88">
        <v>40</v>
      </c>
      <c r="G20" s="69" t="s">
        <v>142</v>
      </c>
      <c r="H20" s="70" t="s">
        <v>97</v>
      </c>
      <c r="I20" s="159">
        <f t="shared" si="1"/>
        <v>286215.60000000003</v>
      </c>
      <c r="J20" s="158"/>
      <c r="K20" s="45"/>
      <c r="L20" s="17">
        <f>I19+I20</f>
        <v>1634031.3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33" t="s">
        <v>63</v>
      </c>
      <c r="B21" s="134"/>
      <c r="C21" s="134"/>
      <c r="D21" s="134"/>
      <c r="E21" s="134"/>
      <c r="F21" s="134"/>
      <c r="G21" s="134"/>
      <c r="H21" s="135"/>
      <c r="I21" s="160">
        <f>SUM(I15:J20)</f>
        <v>6057180.0899999989</v>
      </c>
      <c r="J21" s="135"/>
      <c r="K21" s="3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49"/>
      <c r="B22" s="134"/>
      <c r="C22" s="134"/>
      <c r="D22" s="134"/>
      <c r="E22" s="134"/>
      <c r="F22" s="134"/>
      <c r="G22" s="134"/>
      <c r="H22" s="134"/>
      <c r="I22" s="33"/>
      <c r="J22" s="43"/>
      <c r="K22" s="3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7"/>
      <c r="E23" s="35"/>
      <c r="F23" s="3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7">
        <f>D20+D19</f>
        <v>45664.409999999996</v>
      </c>
      <c r="E24" s="35"/>
      <c r="F24" s="18"/>
      <c r="G24" s="1"/>
      <c r="H24" s="1"/>
      <c r="I24" s="1"/>
      <c r="J24" s="17">
        <f>I21</f>
        <v>6057180.0899999989</v>
      </c>
      <c r="K24" s="1">
        <f>J24/'Dados Gerais'!E15</f>
        <v>115.33961985709507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7"/>
      <c r="E25" s="35"/>
      <c r="F25" s="1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7"/>
      <c r="E26" s="35"/>
      <c r="F26" s="1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7"/>
      <c r="E27" s="35"/>
      <c r="F27" s="1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7"/>
      <c r="E28" s="35"/>
      <c r="F28" s="1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7"/>
      <c r="E29" s="35"/>
      <c r="F29" s="1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7"/>
      <c r="E30" s="35"/>
      <c r="F30" s="1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7"/>
      <c r="E31" s="35"/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7"/>
      <c r="E32" s="35"/>
      <c r="F32" s="1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7"/>
      <c r="E33" s="35"/>
      <c r="F33" s="1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7"/>
      <c r="E34" s="35"/>
      <c r="F34" s="1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7"/>
      <c r="E35" s="35"/>
      <c r="F35" s="1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7"/>
      <c r="E36" s="35"/>
      <c r="F36" s="1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7"/>
      <c r="E37" s="35"/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7"/>
      <c r="E38" s="35"/>
      <c r="F38" s="1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7"/>
      <c r="E39" s="35"/>
      <c r="F39" s="1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7"/>
      <c r="E40" s="35"/>
      <c r="F40" s="1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7"/>
      <c r="E41" s="35"/>
      <c r="F41" s="1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7"/>
      <c r="E42" s="35"/>
      <c r="F42" s="1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7"/>
      <c r="E43" s="35"/>
      <c r="F43" s="1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7"/>
      <c r="E44" s="35"/>
      <c r="F44" s="1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7"/>
      <c r="E45" s="35"/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7"/>
      <c r="E46" s="35"/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7"/>
      <c r="E47" s="35"/>
      <c r="F47" s="1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7"/>
      <c r="E48" s="35"/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7"/>
      <c r="E49" s="35"/>
      <c r="F49" s="1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7"/>
      <c r="E50" s="35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7"/>
      <c r="E51" s="35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7"/>
      <c r="E52" s="35"/>
      <c r="F52" s="1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7"/>
      <c r="E53" s="35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7"/>
      <c r="E54" s="35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A2:K4"/>
    <mergeCell ref="B7:K7"/>
    <mergeCell ref="B8:K8"/>
    <mergeCell ref="B9:K9"/>
    <mergeCell ref="B10:D10"/>
    <mergeCell ref="J10:K10"/>
    <mergeCell ref="A14:C14"/>
    <mergeCell ref="I14:J14"/>
    <mergeCell ref="A17:C17"/>
    <mergeCell ref="A18:C18"/>
    <mergeCell ref="A19:C19"/>
    <mergeCell ref="D14:E14"/>
    <mergeCell ref="F14:G14"/>
    <mergeCell ref="A15:C15"/>
    <mergeCell ref="I15:J15"/>
    <mergeCell ref="A16:C16"/>
    <mergeCell ref="I16:J16"/>
    <mergeCell ref="I17:J17"/>
    <mergeCell ref="A20:C20"/>
    <mergeCell ref="A21:H21"/>
    <mergeCell ref="A22:H22"/>
    <mergeCell ref="I18:J18"/>
    <mergeCell ref="I19:J19"/>
    <mergeCell ref="I20:J20"/>
    <mergeCell ref="I21:J21"/>
  </mergeCells>
  <pageMargins left="0.55118110236220474" right="0.27559055118110237" top="0.59055118110236227" bottom="0.59055118110236227" header="0" footer="0"/>
  <pageSetup paperSize="9" scale="9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3C66"/>
  </sheetPr>
  <dimension ref="A1:Z1000"/>
  <sheetViews>
    <sheetView showGridLines="0" workbookViewId="0"/>
  </sheetViews>
  <sheetFormatPr defaultColWidth="14.44140625" defaultRowHeight="15" customHeight="1"/>
  <cols>
    <col min="1" max="1" width="17.44140625" customWidth="1"/>
    <col min="2" max="2" width="9.88671875" customWidth="1"/>
    <col min="3" max="3" width="8.88671875" customWidth="1"/>
    <col min="4" max="4" width="14" customWidth="1"/>
    <col min="5" max="5" width="7.5546875" customWidth="1"/>
    <col min="6" max="6" width="11.44140625" customWidth="1"/>
    <col min="7" max="7" width="15.88671875" customWidth="1"/>
    <col min="8" max="8" width="12.88671875" customWidth="1"/>
    <col min="9" max="9" width="11.109375" customWidth="1"/>
    <col min="10" max="10" width="14.109375" customWidth="1"/>
    <col min="11" max="11" width="6.44140625" customWidth="1"/>
    <col min="12" max="12" width="11.33203125" customWidth="1"/>
    <col min="13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172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21" t="s">
        <v>173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 t="s">
        <v>20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50" t="s">
        <v>174</v>
      </c>
      <c r="B15" s="151"/>
      <c r="C15" s="152"/>
      <c r="D15" s="77">
        <v>1</v>
      </c>
      <c r="E15" s="60" t="s">
        <v>125</v>
      </c>
      <c r="F15" s="61">
        <v>15</v>
      </c>
      <c r="G15" s="62" t="s">
        <v>175</v>
      </c>
      <c r="H15" s="89" t="s">
        <v>97</v>
      </c>
      <c r="I15" s="153">
        <f>+F15*'Dados Gerais'!$E$15</f>
        <v>787740.6</v>
      </c>
      <c r="J15" s="152"/>
      <c r="K15" s="4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48" t="s">
        <v>176</v>
      </c>
      <c r="B16" s="137"/>
      <c r="C16" s="138"/>
      <c r="D16" s="85">
        <v>1</v>
      </c>
      <c r="E16" s="74" t="s">
        <v>125</v>
      </c>
      <c r="F16" s="75">
        <v>15</v>
      </c>
      <c r="G16" s="76" t="s">
        <v>175</v>
      </c>
      <c r="H16" s="90" t="s">
        <v>97</v>
      </c>
      <c r="I16" s="136">
        <f>+F16*'Dados Gerais'!$E$15</f>
        <v>787740.6</v>
      </c>
      <c r="J16" s="138"/>
      <c r="K16" s="4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48" t="s">
        <v>177</v>
      </c>
      <c r="B17" s="137"/>
      <c r="C17" s="138"/>
      <c r="D17" s="85">
        <v>1</v>
      </c>
      <c r="E17" s="74" t="s">
        <v>125</v>
      </c>
      <c r="F17" s="75">
        <v>10</v>
      </c>
      <c r="G17" s="76" t="s">
        <v>175</v>
      </c>
      <c r="H17" s="90" t="s">
        <v>97</v>
      </c>
      <c r="I17" s="136">
        <f>+F17*'Dados Gerais'!$E$15</f>
        <v>525160.4</v>
      </c>
      <c r="J17" s="138"/>
      <c r="K17" s="4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48" t="s">
        <v>178</v>
      </c>
      <c r="B18" s="137"/>
      <c r="C18" s="138"/>
      <c r="D18" s="85">
        <v>1</v>
      </c>
      <c r="E18" s="74" t="s">
        <v>125</v>
      </c>
      <c r="F18" s="75">
        <v>35</v>
      </c>
      <c r="G18" s="76" t="s">
        <v>175</v>
      </c>
      <c r="H18" s="90" t="s">
        <v>97</v>
      </c>
      <c r="I18" s="136">
        <f>+F18*'Dados Gerais'!$E$15</f>
        <v>1838061.4000000001</v>
      </c>
      <c r="J18" s="138"/>
      <c r="K18" s="4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48" t="s">
        <v>179</v>
      </c>
      <c r="B19" s="137"/>
      <c r="C19" s="138"/>
      <c r="D19" s="78">
        <v>1</v>
      </c>
      <c r="E19" s="64" t="s">
        <v>125</v>
      </c>
      <c r="F19" s="65">
        <v>25</v>
      </c>
      <c r="G19" s="66" t="s">
        <v>175</v>
      </c>
      <c r="H19" s="83" t="s">
        <v>97</v>
      </c>
      <c r="I19" s="136">
        <f>+F19*'Dados Gerais'!$E$15</f>
        <v>1312901</v>
      </c>
      <c r="J19" s="138"/>
      <c r="K19" s="4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48" t="s">
        <v>180</v>
      </c>
      <c r="B20" s="137"/>
      <c r="C20" s="138"/>
      <c r="D20" s="78">
        <v>1</v>
      </c>
      <c r="E20" s="64" t="s">
        <v>125</v>
      </c>
      <c r="F20" s="65">
        <v>20</v>
      </c>
      <c r="G20" s="66" t="s">
        <v>175</v>
      </c>
      <c r="H20" s="83" t="s">
        <v>97</v>
      </c>
      <c r="I20" s="136">
        <f>+F20*'Dados Gerais'!$E$15</f>
        <v>1050320.8</v>
      </c>
      <c r="J20" s="138"/>
      <c r="K20" s="4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48" t="s">
        <v>181</v>
      </c>
      <c r="B21" s="137"/>
      <c r="C21" s="138"/>
      <c r="D21" s="78">
        <v>1</v>
      </c>
      <c r="E21" s="64" t="s">
        <v>125</v>
      </c>
      <c r="F21" s="65">
        <v>55</v>
      </c>
      <c r="G21" s="66" t="s">
        <v>175</v>
      </c>
      <c r="H21" s="83" t="s">
        <v>97</v>
      </c>
      <c r="I21" s="136">
        <f>+F21*'Dados Gerais'!$E$15</f>
        <v>2888382.2</v>
      </c>
      <c r="J21" s="138"/>
      <c r="K21" s="4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33" t="s">
        <v>63</v>
      </c>
      <c r="B22" s="134"/>
      <c r="C22" s="134"/>
      <c r="D22" s="134"/>
      <c r="E22" s="134"/>
      <c r="F22" s="134"/>
      <c r="G22" s="134"/>
      <c r="H22" s="135"/>
      <c r="I22" s="139">
        <f>SUM(I15:J21)</f>
        <v>9190307</v>
      </c>
      <c r="J22" s="135"/>
      <c r="K22" s="3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49"/>
      <c r="B23" s="134"/>
      <c r="C23" s="134"/>
      <c r="D23" s="134"/>
      <c r="E23" s="134"/>
      <c r="F23" s="134"/>
      <c r="G23" s="134"/>
      <c r="H23" s="134"/>
      <c r="I23" s="33"/>
      <c r="J23" s="33"/>
      <c r="K23" s="3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21" t="s">
        <v>182</v>
      </c>
      <c r="B24" s="22"/>
      <c r="C24" s="22"/>
      <c r="D24" s="56"/>
      <c r="E24" s="36"/>
      <c r="F24" s="23"/>
      <c r="G24" s="22"/>
      <c r="H24" s="22"/>
      <c r="I24" s="22"/>
      <c r="J24" s="22"/>
      <c r="K24" s="2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25"/>
      <c r="B25" s="26"/>
      <c r="C25" s="26"/>
      <c r="D25" s="57"/>
      <c r="E25" s="58"/>
      <c r="F25" s="26"/>
      <c r="G25" s="26"/>
      <c r="H25" s="26"/>
      <c r="I25" s="1"/>
      <c r="J25" s="1"/>
      <c r="K25" s="2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44" t="s">
        <v>14</v>
      </c>
      <c r="B26" s="134"/>
      <c r="C26" s="145"/>
      <c r="D26" s="162" t="s">
        <v>86</v>
      </c>
      <c r="E26" s="135"/>
      <c r="F26" s="143" t="s">
        <v>87</v>
      </c>
      <c r="G26" s="135"/>
      <c r="H26" s="59" t="s">
        <v>88</v>
      </c>
      <c r="I26" s="143" t="s">
        <v>62</v>
      </c>
      <c r="J26" s="135"/>
      <c r="K26" s="2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78" t="s">
        <v>183</v>
      </c>
      <c r="B27" s="151"/>
      <c r="C27" s="152"/>
      <c r="D27" s="77">
        <v>1</v>
      </c>
      <c r="E27" s="60" t="s">
        <v>125</v>
      </c>
      <c r="F27" s="61">
        <v>35</v>
      </c>
      <c r="G27" s="62" t="s">
        <v>175</v>
      </c>
      <c r="H27" s="89" t="s">
        <v>97</v>
      </c>
      <c r="I27" s="153">
        <f>+F27*'Dados Gerais'!$E$15</f>
        <v>1838061.4000000001</v>
      </c>
      <c r="J27" s="152"/>
      <c r="K27" s="4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79" t="s">
        <v>184</v>
      </c>
      <c r="B28" s="137"/>
      <c r="C28" s="138"/>
      <c r="D28" s="85">
        <v>1</v>
      </c>
      <c r="E28" s="74" t="s">
        <v>125</v>
      </c>
      <c r="F28" s="75">
        <v>15</v>
      </c>
      <c r="G28" s="76" t="s">
        <v>175</v>
      </c>
      <c r="H28" s="90" t="s">
        <v>97</v>
      </c>
      <c r="I28" s="136">
        <f>+F28*'Dados Gerais'!$E$15</f>
        <v>787740.6</v>
      </c>
      <c r="J28" s="138"/>
      <c r="K28" s="4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79" t="s">
        <v>185</v>
      </c>
      <c r="B29" s="137"/>
      <c r="C29" s="138"/>
      <c r="D29" s="85">
        <v>1</v>
      </c>
      <c r="E29" s="74" t="s">
        <v>125</v>
      </c>
      <c r="F29" s="75">
        <v>10</v>
      </c>
      <c r="G29" s="76" t="s">
        <v>175</v>
      </c>
      <c r="H29" s="90" t="s">
        <v>97</v>
      </c>
      <c r="I29" s="136">
        <f>+F29*'Dados Gerais'!$E$15</f>
        <v>525160.4</v>
      </c>
      <c r="J29" s="138"/>
      <c r="K29" s="4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79" t="s">
        <v>186</v>
      </c>
      <c r="B30" s="137"/>
      <c r="C30" s="138"/>
      <c r="D30" s="85">
        <v>1</v>
      </c>
      <c r="E30" s="74" t="s">
        <v>125</v>
      </c>
      <c r="F30" s="75">
        <v>15</v>
      </c>
      <c r="G30" s="76" t="s">
        <v>175</v>
      </c>
      <c r="H30" s="90" t="s">
        <v>97</v>
      </c>
      <c r="I30" s="136">
        <f>+F30*'Dados Gerais'!$E$15</f>
        <v>787740.6</v>
      </c>
      <c r="J30" s="138"/>
      <c r="K30" s="4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79" t="s">
        <v>187</v>
      </c>
      <c r="B31" s="137"/>
      <c r="C31" s="138"/>
      <c r="D31" s="78">
        <v>1</v>
      </c>
      <c r="E31" s="64" t="s">
        <v>125</v>
      </c>
      <c r="F31" s="65">
        <v>3</v>
      </c>
      <c r="G31" s="66" t="s">
        <v>175</v>
      </c>
      <c r="H31" s="83" t="s">
        <v>97</v>
      </c>
      <c r="I31" s="136">
        <f>+F31*'Dados Gerais'!$E$15</f>
        <v>157548.12</v>
      </c>
      <c r="J31" s="138"/>
      <c r="K31" s="4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79" t="s">
        <v>188</v>
      </c>
      <c r="B32" s="137"/>
      <c r="C32" s="138"/>
      <c r="D32" s="78">
        <v>1</v>
      </c>
      <c r="E32" s="64" t="s">
        <v>125</v>
      </c>
      <c r="F32" s="65">
        <v>5</v>
      </c>
      <c r="G32" s="66" t="s">
        <v>175</v>
      </c>
      <c r="H32" s="83" t="s">
        <v>97</v>
      </c>
      <c r="I32" s="136">
        <f>+F32*'Dados Gerais'!$E$15</f>
        <v>262580.2</v>
      </c>
      <c r="J32" s="138"/>
      <c r="K32" s="4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79" t="s">
        <v>189</v>
      </c>
      <c r="B33" s="137"/>
      <c r="C33" s="138"/>
      <c r="D33" s="78">
        <v>1</v>
      </c>
      <c r="E33" s="64" t="s">
        <v>125</v>
      </c>
      <c r="F33" s="65">
        <v>35</v>
      </c>
      <c r="G33" s="66" t="s">
        <v>175</v>
      </c>
      <c r="H33" s="83" t="s">
        <v>97</v>
      </c>
      <c r="I33" s="136">
        <f>+F33*'Dados Gerais'!$E$15</f>
        <v>1838061.4000000001</v>
      </c>
      <c r="J33" s="138"/>
      <c r="K33" s="4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79" t="s">
        <v>190</v>
      </c>
      <c r="B34" s="137"/>
      <c r="C34" s="138"/>
      <c r="D34" s="79">
        <v>1</v>
      </c>
      <c r="E34" s="68" t="s">
        <v>125</v>
      </c>
      <c r="F34" s="88">
        <v>50</v>
      </c>
      <c r="G34" s="69" t="s">
        <v>175</v>
      </c>
      <c r="H34" s="70" t="s">
        <v>97</v>
      </c>
      <c r="I34" s="156">
        <f>+F34*'Dados Gerais'!$E$15</f>
        <v>2625802</v>
      </c>
      <c r="J34" s="158"/>
      <c r="K34" s="4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33" t="s">
        <v>63</v>
      </c>
      <c r="B35" s="134"/>
      <c r="C35" s="134"/>
      <c r="D35" s="134"/>
      <c r="E35" s="134"/>
      <c r="F35" s="134"/>
      <c r="G35" s="134"/>
      <c r="H35" s="135"/>
      <c r="I35" s="139">
        <f>SUM(I27:J34)</f>
        <v>8822694.7200000007</v>
      </c>
      <c r="J35" s="135"/>
      <c r="K35" s="3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49"/>
      <c r="B36" s="134"/>
      <c r="C36" s="134"/>
      <c r="D36" s="134"/>
      <c r="E36" s="134"/>
      <c r="F36" s="134"/>
      <c r="G36" s="134"/>
      <c r="H36" s="134"/>
      <c r="I36" s="33"/>
      <c r="J36" s="33"/>
      <c r="K36" s="3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7"/>
      <c r="E37" s="35"/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21" t="s">
        <v>191</v>
      </c>
      <c r="B38" s="22"/>
      <c r="C38" s="22"/>
      <c r="D38" s="56"/>
      <c r="E38" s="36"/>
      <c r="F38" s="23"/>
      <c r="G38" s="22"/>
      <c r="H38" s="22"/>
      <c r="I38" s="22"/>
      <c r="J38" s="22"/>
      <c r="K38" s="2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25"/>
      <c r="B39" s="26"/>
      <c r="C39" s="26"/>
      <c r="D39" s="57"/>
      <c r="E39" s="58"/>
      <c r="F39" s="26"/>
      <c r="G39" s="26"/>
      <c r="H39" s="26"/>
      <c r="I39" s="1"/>
      <c r="J39" s="1"/>
      <c r="K39" s="2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44" t="s">
        <v>14</v>
      </c>
      <c r="B40" s="134"/>
      <c r="C40" s="145"/>
      <c r="D40" s="162" t="s">
        <v>86</v>
      </c>
      <c r="E40" s="135"/>
      <c r="F40" s="143" t="s">
        <v>87</v>
      </c>
      <c r="G40" s="135"/>
      <c r="H40" s="59" t="s">
        <v>88</v>
      </c>
      <c r="I40" s="143" t="s">
        <v>62</v>
      </c>
      <c r="J40" s="135"/>
      <c r="K40" s="2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78" t="s">
        <v>192</v>
      </c>
      <c r="B41" s="151"/>
      <c r="C41" s="152"/>
      <c r="D41" s="77">
        <v>1</v>
      </c>
      <c r="E41" s="60" t="s">
        <v>125</v>
      </c>
      <c r="F41" s="61">
        <v>45</v>
      </c>
      <c r="G41" s="62" t="s">
        <v>175</v>
      </c>
      <c r="H41" s="89" t="s">
        <v>97</v>
      </c>
      <c r="I41" s="153">
        <f>+F41*'Dados Gerais'!$E$15</f>
        <v>2363221.7999999998</v>
      </c>
      <c r="J41" s="152"/>
      <c r="K41" s="45"/>
      <c r="L41" s="17"/>
      <c r="M41" s="91"/>
      <c r="N41" s="9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79" t="s">
        <v>193</v>
      </c>
      <c r="B42" s="137"/>
      <c r="C42" s="138"/>
      <c r="D42" s="85">
        <v>1</v>
      </c>
      <c r="E42" s="74" t="s">
        <v>125</v>
      </c>
      <c r="F42" s="75">
        <v>15</v>
      </c>
      <c r="G42" s="76" t="s">
        <v>175</v>
      </c>
      <c r="H42" s="90" t="s">
        <v>97</v>
      </c>
      <c r="I42" s="136">
        <f>+F42*'Dados Gerais'!$E$15</f>
        <v>787740.6</v>
      </c>
      <c r="J42" s="138"/>
      <c r="K42" s="45"/>
      <c r="L42" s="1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79" t="s">
        <v>194</v>
      </c>
      <c r="B43" s="137"/>
      <c r="C43" s="138"/>
      <c r="D43" s="85">
        <v>1</v>
      </c>
      <c r="E43" s="74" t="s">
        <v>125</v>
      </c>
      <c r="F43" s="75">
        <v>25</v>
      </c>
      <c r="G43" s="76" t="s">
        <v>175</v>
      </c>
      <c r="H43" s="90" t="s">
        <v>97</v>
      </c>
      <c r="I43" s="136">
        <f>+F43*'Dados Gerais'!$E$15</f>
        <v>1312901</v>
      </c>
      <c r="J43" s="138"/>
      <c r="K43" s="45"/>
      <c r="L43" s="1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33" t="s">
        <v>63</v>
      </c>
      <c r="B44" s="134"/>
      <c r="C44" s="134"/>
      <c r="D44" s="134"/>
      <c r="E44" s="134"/>
      <c r="F44" s="134"/>
      <c r="G44" s="134"/>
      <c r="H44" s="135"/>
      <c r="I44" s="139">
        <f>SUM(I41:J43)</f>
        <v>4463863.4000000004</v>
      </c>
      <c r="J44" s="135"/>
      <c r="K44" s="31"/>
      <c r="L44" s="1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49"/>
      <c r="B45" s="134"/>
      <c r="C45" s="134"/>
      <c r="D45" s="134"/>
      <c r="E45" s="134"/>
      <c r="F45" s="134"/>
      <c r="G45" s="134"/>
      <c r="H45" s="134"/>
      <c r="I45" s="33"/>
      <c r="J45" s="33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7"/>
      <c r="E46" s="35"/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7"/>
      <c r="E47" s="35"/>
      <c r="F47" s="18"/>
      <c r="G47" s="1"/>
      <c r="H47" s="1"/>
      <c r="I47" s="1"/>
      <c r="J47" s="17">
        <f>I44+I35+I22</f>
        <v>22476865.120000001</v>
      </c>
      <c r="K47" s="1">
        <f>J47/'Dados Gerais'!E15</f>
        <v>428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7"/>
      <c r="E48" s="35"/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7"/>
      <c r="E49" s="35"/>
      <c r="F49" s="1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7"/>
      <c r="E50" s="35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7"/>
      <c r="E51" s="35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7"/>
      <c r="E52" s="35"/>
      <c r="F52" s="1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7"/>
      <c r="E53" s="35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7"/>
      <c r="E54" s="35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3">
    <mergeCell ref="A36:H36"/>
    <mergeCell ref="A28:C28"/>
    <mergeCell ref="A29:C29"/>
    <mergeCell ref="A30:C30"/>
    <mergeCell ref="A31:C31"/>
    <mergeCell ref="A32:C32"/>
    <mergeCell ref="A33:C33"/>
    <mergeCell ref="A34:C34"/>
    <mergeCell ref="I43:J43"/>
    <mergeCell ref="A44:H44"/>
    <mergeCell ref="I44:J44"/>
    <mergeCell ref="A45:H45"/>
    <mergeCell ref="A40:C40"/>
    <mergeCell ref="D40:E40"/>
    <mergeCell ref="F40:G40"/>
    <mergeCell ref="I40:J40"/>
    <mergeCell ref="A41:C41"/>
    <mergeCell ref="I41:J41"/>
    <mergeCell ref="I42:J42"/>
    <mergeCell ref="A42:C42"/>
    <mergeCell ref="A43:C43"/>
    <mergeCell ref="I14:J14"/>
    <mergeCell ref="I18:J18"/>
    <mergeCell ref="I19:J19"/>
    <mergeCell ref="I20:J20"/>
    <mergeCell ref="A2:K4"/>
    <mergeCell ref="B7:K7"/>
    <mergeCell ref="B8:K8"/>
    <mergeCell ref="B9:K9"/>
    <mergeCell ref="B10:D10"/>
    <mergeCell ref="J10:K10"/>
    <mergeCell ref="I21:J21"/>
    <mergeCell ref="I22:J22"/>
    <mergeCell ref="D14:E14"/>
    <mergeCell ref="F14:G14"/>
    <mergeCell ref="A15:C15"/>
    <mergeCell ref="I15:J15"/>
    <mergeCell ref="A16:C16"/>
    <mergeCell ref="I16:J16"/>
    <mergeCell ref="I17:J17"/>
    <mergeCell ref="A17:C17"/>
    <mergeCell ref="A18:C18"/>
    <mergeCell ref="A19:C19"/>
    <mergeCell ref="A20:C20"/>
    <mergeCell ref="A21:C21"/>
    <mergeCell ref="A22:H22"/>
    <mergeCell ref="A14:C14"/>
    <mergeCell ref="A23:H23"/>
    <mergeCell ref="I29:J29"/>
    <mergeCell ref="I30:J30"/>
    <mergeCell ref="I31:J31"/>
    <mergeCell ref="I32:J32"/>
    <mergeCell ref="I33:J33"/>
    <mergeCell ref="I34:J34"/>
    <mergeCell ref="I35:J35"/>
    <mergeCell ref="A26:C26"/>
    <mergeCell ref="D26:E26"/>
    <mergeCell ref="F26:G26"/>
    <mergeCell ref="I26:J26"/>
    <mergeCell ref="A27:C27"/>
    <mergeCell ref="I27:J27"/>
    <mergeCell ref="I28:J28"/>
    <mergeCell ref="A35:H35"/>
  </mergeCells>
  <pageMargins left="0.55118110236220474" right="0.27559055118110237" top="0.59055118110236227" bottom="0.59055118110236227" header="0" footer="0"/>
  <pageSetup paperSize="9" scale="9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3C66"/>
  </sheetPr>
  <dimension ref="A1:Z1000"/>
  <sheetViews>
    <sheetView showGridLines="0" topLeftCell="A36" workbookViewId="0">
      <selection activeCell="I60" sqref="I60"/>
    </sheetView>
  </sheetViews>
  <sheetFormatPr defaultColWidth="14.44140625" defaultRowHeight="15" customHeight="1"/>
  <cols>
    <col min="1" max="1" width="17.44140625" customWidth="1"/>
    <col min="2" max="2" width="9.88671875" customWidth="1"/>
    <col min="3" max="3" width="8.88671875" customWidth="1"/>
    <col min="4" max="4" width="14" customWidth="1"/>
    <col min="5" max="5" width="7.88671875" customWidth="1"/>
    <col min="6" max="6" width="17.33203125" customWidth="1"/>
    <col min="7" max="7" width="15.88671875" customWidth="1"/>
    <col min="8" max="8" width="12.88671875" customWidth="1"/>
    <col min="9" max="9" width="11.44140625" customWidth="1"/>
    <col min="10" max="10" width="14.5546875" customWidth="1"/>
    <col min="11" max="11" width="6.44140625" customWidth="1"/>
    <col min="12" max="13" width="14.5546875" customWidth="1"/>
    <col min="14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195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21" t="s">
        <v>196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 t="s">
        <v>20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>
      <c r="A15" s="178" t="s">
        <v>197</v>
      </c>
      <c r="B15" s="151"/>
      <c r="C15" s="152"/>
      <c r="D15" s="77">
        <v>30</v>
      </c>
      <c r="E15" s="60" t="s">
        <v>198</v>
      </c>
      <c r="F15" s="61">
        <v>1500</v>
      </c>
      <c r="G15" s="62" t="s">
        <v>199</v>
      </c>
      <c r="H15" s="89" t="s">
        <v>97</v>
      </c>
      <c r="I15" s="153">
        <f t="shared" ref="I15:I16" si="0">F15*D15</f>
        <v>45000</v>
      </c>
      <c r="J15" s="152"/>
      <c r="K15" s="45"/>
      <c r="L15" s="1"/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8.5" customHeight="1">
      <c r="A16" s="179" t="s">
        <v>200</v>
      </c>
      <c r="B16" s="137"/>
      <c r="C16" s="138"/>
      <c r="D16" s="78">
        <v>30</v>
      </c>
      <c r="E16" s="78" t="s">
        <v>198</v>
      </c>
      <c r="F16" s="65">
        <v>6000</v>
      </c>
      <c r="G16" s="66" t="s">
        <v>201</v>
      </c>
      <c r="H16" s="92" t="s">
        <v>97</v>
      </c>
      <c r="I16" s="136">
        <f t="shared" si="0"/>
        <v>180000</v>
      </c>
      <c r="J16" s="138"/>
      <c r="K16" s="45"/>
      <c r="L16" s="1"/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79" t="s">
        <v>202</v>
      </c>
      <c r="B17" s="137"/>
      <c r="C17" s="138"/>
      <c r="D17" s="78">
        <v>8</v>
      </c>
      <c r="E17" s="78" t="s">
        <v>28</v>
      </c>
      <c r="F17" s="65">
        <v>150000</v>
      </c>
      <c r="G17" s="66" t="s">
        <v>203</v>
      </c>
      <c r="H17" s="92" t="s">
        <v>97</v>
      </c>
      <c r="I17" s="136">
        <f t="shared" ref="I17:I18" si="1">+D17*F17</f>
        <v>1200000</v>
      </c>
      <c r="J17" s="138"/>
      <c r="K17" s="4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79" t="s">
        <v>204</v>
      </c>
      <c r="B18" s="137"/>
      <c r="C18" s="138"/>
      <c r="D18" s="78">
        <v>476</v>
      </c>
      <c r="E18" s="78" t="s">
        <v>28</v>
      </c>
      <c r="F18" s="65">
        <v>1000</v>
      </c>
      <c r="G18" s="66" t="s">
        <v>203</v>
      </c>
      <c r="H18" s="92" t="s">
        <v>97</v>
      </c>
      <c r="I18" s="136">
        <f t="shared" si="1"/>
        <v>476000</v>
      </c>
      <c r="J18" s="138"/>
      <c r="K18" s="4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64" t="s">
        <v>205</v>
      </c>
      <c r="B19" s="157"/>
      <c r="C19" s="158"/>
      <c r="D19" s="93">
        <v>22</v>
      </c>
      <c r="E19" s="93" t="s">
        <v>206</v>
      </c>
      <c r="F19" s="94">
        <v>100000</v>
      </c>
      <c r="G19" s="95" t="s">
        <v>203</v>
      </c>
      <c r="H19" s="96" t="s">
        <v>97</v>
      </c>
      <c r="I19" s="156">
        <f>D19*F19</f>
        <v>2200000</v>
      </c>
      <c r="J19" s="158"/>
      <c r="K19" s="4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33" t="s">
        <v>63</v>
      </c>
      <c r="B20" s="134"/>
      <c r="C20" s="134"/>
      <c r="D20" s="134"/>
      <c r="E20" s="134"/>
      <c r="F20" s="134"/>
      <c r="G20" s="134"/>
      <c r="H20" s="135"/>
      <c r="I20" s="139">
        <f>SUM(I15:J19)</f>
        <v>4101000</v>
      </c>
      <c r="J20" s="135"/>
      <c r="K20" s="3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49"/>
      <c r="B21" s="134"/>
      <c r="C21" s="134"/>
      <c r="D21" s="134"/>
      <c r="E21" s="134"/>
      <c r="F21" s="134"/>
      <c r="G21" s="134"/>
      <c r="H21" s="134"/>
      <c r="I21" s="33"/>
      <c r="J21" s="33"/>
      <c r="K21" s="3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17"/>
      <c r="E22" s="35"/>
      <c r="F22" s="1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21" t="s">
        <v>69</v>
      </c>
      <c r="B23" s="22"/>
      <c r="C23" s="22"/>
      <c r="D23" s="56"/>
      <c r="E23" s="36"/>
      <c r="F23" s="23"/>
      <c r="G23" s="22"/>
      <c r="H23" s="22"/>
      <c r="I23" s="22"/>
      <c r="J23" s="22"/>
      <c r="K23" s="2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25"/>
      <c r="B24" s="26"/>
      <c r="C24" s="26"/>
      <c r="D24" s="57"/>
      <c r="E24" s="58"/>
      <c r="F24" s="26"/>
      <c r="G24" s="26"/>
      <c r="H24" s="26"/>
      <c r="I24" s="1"/>
      <c r="J24" s="1"/>
      <c r="K24" s="2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44" t="s">
        <v>14</v>
      </c>
      <c r="B25" s="134"/>
      <c r="C25" s="145"/>
      <c r="D25" s="162" t="s">
        <v>86</v>
      </c>
      <c r="E25" s="135"/>
      <c r="F25" s="143" t="s">
        <v>87</v>
      </c>
      <c r="G25" s="135"/>
      <c r="H25" s="59" t="s">
        <v>88</v>
      </c>
      <c r="I25" s="143" t="s">
        <v>62</v>
      </c>
      <c r="J25" s="135"/>
      <c r="K25" s="2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78" t="s">
        <v>207</v>
      </c>
      <c r="B26" s="151"/>
      <c r="C26" s="152"/>
      <c r="D26" s="77">
        <v>1</v>
      </c>
      <c r="E26" s="60" t="s">
        <v>125</v>
      </c>
      <c r="F26" s="61">
        <v>3</v>
      </c>
      <c r="G26" s="62" t="s">
        <v>175</v>
      </c>
      <c r="H26" s="89" t="s">
        <v>97</v>
      </c>
      <c r="I26" s="153">
        <f>+F26*'Dados Gerais'!E15</f>
        <v>157548.12</v>
      </c>
      <c r="J26" s="152"/>
      <c r="K26" s="4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79" t="s">
        <v>208</v>
      </c>
      <c r="B27" s="137"/>
      <c r="C27" s="138"/>
      <c r="D27" s="78">
        <v>1</v>
      </c>
      <c r="E27" s="78" t="s">
        <v>125</v>
      </c>
      <c r="F27" s="65">
        <v>10</v>
      </c>
      <c r="G27" s="66" t="s">
        <v>175</v>
      </c>
      <c r="H27" s="92" t="s">
        <v>97</v>
      </c>
      <c r="I27" s="153">
        <f>+F27*'Dados Gerais'!E15</f>
        <v>525160.4</v>
      </c>
      <c r="J27" s="152"/>
      <c r="K27" s="4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79" t="s">
        <v>209</v>
      </c>
      <c r="B28" s="137"/>
      <c r="C28" s="138"/>
      <c r="D28" s="78">
        <v>1</v>
      </c>
      <c r="E28" s="78" t="s">
        <v>125</v>
      </c>
      <c r="F28" s="65">
        <v>12</v>
      </c>
      <c r="G28" s="66" t="s">
        <v>175</v>
      </c>
      <c r="H28" s="92" t="s">
        <v>97</v>
      </c>
      <c r="I28" s="153">
        <f>+F28*'Dados Gerais'!E15</f>
        <v>630192.48</v>
      </c>
      <c r="J28" s="152"/>
      <c r="K28" s="4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33" t="s">
        <v>63</v>
      </c>
      <c r="B29" s="134"/>
      <c r="C29" s="134"/>
      <c r="D29" s="134"/>
      <c r="E29" s="134"/>
      <c r="F29" s="134"/>
      <c r="G29" s="134"/>
      <c r="H29" s="135"/>
      <c r="I29" s="139">
        <f>SUM(I26:I28)</f>
        <v>1312901</v>
      </c>
      <c r="J29" s="135"/>
      <c r="K29" s="3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80"/>
      <c r="B30" s="168"/>
      <c r="C30" s="168"/>
      <c r="D30" s="168"/>
      <c r="E30" s="168"/>
      <c r="F30" s="168"/>
      <c r="G30" s="168"/>
      <c r="H30" s="168"/>
      <c r="I30" s="33"/>
      <c r="J30" s="33"/>
      <c r="K30" s="3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7"/>
      <c r="E31" s="35"/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1" t="s">
        <v>210</v>
      </c>
      <c r="B32" s="22"/>
      <c r="C32" s="22"/>
      <c r="D32" s="56"/>
      <c r="E32" s="36"/>
      <c r="F32" s="23"/>
      <c r="G32" s="22"/>
      <c r="H32" s="22"/>
      <c r="I32" s="22"/>
      <c r="J32" s="22"/>
      <c r="K32" s="2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5"/>
      <c r="B33" s="26"/>
      <c r="C33" s="26"/>
      <c r="D33" s="57"/>
      <c r="E33" s="58"/>
      <c r="F33" s="26"/>
      <c r="G33" s="26"/>
      <c r="H33" s="26"/>
      <c r="I33" s="1"/>
      <c r="J33" s="1"/>
      <c r="K33" s="2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44" t="s">
        <v>14</v>
      </c>
      <c r="B34" s="134"/>
      <c r="C34" s="145"/>
      <c r="D34" s="162" t="s">
        <v>86</v>
      </c>
      <c r="E34" s="135"/>
      <c r="F34" s="143" t="s">
        <v>87</v>
      </c>
      <c r="G34" s="135"/>
      <c r="H34" s="59" t="s">
        <v>88</v>
      </c>
      <c r="I34" s="143" t="s">
        <v>62</v>
      </c>
      <c r="J34" s="135"/>
      <c r="K34" s="2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8.5" customHeight="1">
      <c r="A35" s="178" t="s">
        <v>211</v>
      </c>
      <c r="B35" s="151"/>
      <c r="C35" s="152"/>
      <c r="D35" s="77">
        <v>1</v>
      </c>
      <c r="E35" s="60" t="s">
        <v>125</v>
      </c>
      <c r="F35" s="61">
        <v>15</v>
      </c>
      <c r="G35" s="62" t="s">
        <v>175</v>
      </c>
      <c r="H35" s="89" t="s">
        <v>97</v>
      </c>
      <c r="I35" s="153">
        <f>F35*'Dados Gerais'!E15</f>
        <v>787740.6</v>
      </c>
      <c r="J35" s="152"/>
      <c r="K35" s="45"/>
      <c r="L35" s="17"/>
      <c r="M35" s="17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33" t="s">
        <v>63</v>
      </c>
      <c r="B36" s="134"/>
      <c r="C36" s="134"/>
      <c r="D36" s="134"/>
      <c r="E36" s="134"/>
      <c r="F36" s="134"/>
      <c r="G36" s="134"/>
      <c r="H36" s="135"/>
      <c r="I36" s="139">
        <f>SUM(I35:J35)</f>
        <v>787740.6</v>
      </c>
      <c r="J36" s="13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49"/>
      <c r="B37" s="134"/>
      <c r="C37" s="134"/>
      <c r="D37" s="134"/>
      <c r="E37" s="134"/>
      <c r="F37" s="134"/>
      <c r="G37" s="134"/>
      <c r="H37" s="134"/>
      <c r="I37" s="33"/>
      <c r="J37" s="33"/>
      <c r="K37" s="3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46"/>
      <c r="B38" s="23"/>
      <c r="C38" s="23"/>
      <c r="D38" s="23"/>
      <c r="E38" s="23"/>
      <c r="F38" s="23"/>
      <c r="G38" s="23"/>
      <c r="H38" s="23"/>
      <c r="I38" s="1"/>
      <c r="J38" s="1"/>
      <c r="K38" s="2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21" t="s">
        <v>212</v>
      </c>
      <c r="B39" s="22"/>
      <c r="C39" s="22"/>
      <c r="D39" s="56"/>
      <c r="E39" s="36"/>
      <c r="F39" s="23"/>
      <c r="G39" s="22"/>
      <c r="H39" s="22"/>
      <c r="I39" s="22"/>
      <c r="J39" s="22"/>
      <c r="K39" s="2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25"/>
      <c r="B40" s="26"/>
      <c r="C40" s="26"/>
      <c r="D40" s="57"/>
      <c r="E40" s="58"/>
      <c r="F40" s="26"/>
      <c r="G40" s="26"/>
      <c r="H40" s="26"/>
      <c r="I40" s="1"/>
      <c r="J40" s="1"/>
      <c r="K40" s="2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44" t="s">
        <v>14</v>
      </c>
      <c r="B41" s="134"/>
      <c r="C41" s="135"/>
      <c r="D41" s="162" t="s">
        <v>86</v>
      </c>
      <c r="E41" s="135"/>
      <c r="F41" s="143" t="s">
        <v>87</v>
      </c>
      <c r="G41" s="135"/>
      <c r="H41" s="59" t="s">
        <v>88</v>
      </c>
      <c r="I41" s="143" t="s">
        <v>62</v>
      </c>
      <c r="J41" s="135"/>
      <c r="K41" s="2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82" t="s">
        <v>213</v>
      </c>
      <c r="B42" s="134"/>
      <c r="C42" s="135"/>
      <c r="D42" s="77">
        <v>1</v>
      </c>
      <c r="E42" s="60" t="s">
        <v>125</v>
      </c>
      <c r="F42" s="61">
        <v>20</v>
      </c>
      <c r="G42" s="62" t="s">
        <v>175</v>
      </c>
      <c r="H42" s="89" t="s">
        <v>97</v>
      </c>
      <c r="I42" s="181">
        <f>+F42*'Dados Gerais'!E15</f>
        <v>1050320.8</v>
      </c>
      <c r="J42" s="135"/>
      <c r="K42" s="4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33" t="s">
        <v>63</v>
      </c>
      <c r="B43" s="134"/>
      <c r="C43" s="134"/>
      <c r="D43" s="134"/>
      <c r="E43" s="134"/>
      <c r="F43" s="134"/>
      <c r="G43" s="134"/>
      <c r="H43" s="135"/>
      <c r="I43" s="139">
        <f>SUM(I42:J42)</f>
        <v>1050320.8</v>
      </c>
      <c r="J43" s="135"/>
      <c r="K43" s="3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49"/>
      <c r="B44" s="134"/>
      <c r="C44" s="134"/>
      <c r="D44" s="134"/>
      <c r="E44" s="134"/>
      <c r="F44" s="134"/>
      <c r="G44" s="134"/>
      <c r="H44" s="134"/>
      <c r="I44" s="33"/>
      <c r="J44" s="33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7"/>
      <c r="E45" s="35"/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21" t="s">
        <v>214</v>
      </c>
      <c r="B46" s="22"/>
      <c r="C46" s="22"/>
      <c r="D46" s="56"/>
      <c r="E46" s="36"/>
      <c r="F46" s="23"/>
      <c r="G46" s="22"/>
      <c r="H46" s="22"/>
      <c r="I46" s="22"/>
      <c r="J46" s="22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25"/>
      <c r="B47" s="26"/>
      <c r="C47" s="26"/>
      <c r="D47" s="57"/>
      <c r="E47" s="58"/>
      <c r="F47" s="26"/>
      <c r="G47" s="26"/>
      <c r="H47" s="26"/>
      <c r="I47" s="1"/>
      <c r="J47" s="1"/>
      <c r="K47" s="2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44" t="s">
        <v>14</v>
      </c>
      <c r="B48" s="134"/>
      <c r="C48" s="135"/>
      <c r="D48" s="162" t="s">
        <v>86</v>
      </c>
      <c r="E48" s="135"/>
      <c r="F48" s="143" t="s">
        <v>87</v>
      </c>
      <c r="G48" s="135"/>
      <c r="H48" s="59" t="s">
        <v>88</v>
      </c>
      <c r="I48" s="143" t="s">
        <v>62</v>
      </c>
      <c r="J48" s="135"/>
      <c r="K48" s="2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50" t="s">
        <v>215</v>
      </c>
      <c r="B49" s="151"/>
      <c r="C49" s="152"/>
      <c r="D49" s="77">
        <v>14</v>
      </c>
      <c r="E49" s="77" t="s">
        <v>28</v>
      </c>
      <c r="F49" s="97">
        <v>9645900</v>
      </c>
      <c r="G49" s="98" t="s">
        <v>126</v>
      </c>
      <c r="H49" s="99" t="s">
        <v>97</v>
      </c>
      <c r="I49" s="153">
        <f>F49</f>
        <v>9645900</v>
      </c>
      <c r="J49" s="152"/>
      <c r="K49" s="27"/>
      <c r="L49" s="1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48" t="s">
        <v>216</v>
      </c>
      <c r="B50" s="137"/>
      <c r="C50" s="138"/>
      <c r="D50" s="78">
        <v>1</v>
      </c>
      <c r="E50" s="78" t="s">
        <v>28</v>
      </c>
      <c r="F50" s="100">
        <v>500000</v>
      </c>
      <c r="G50" s="101" t="s">
        <v>151</v>
      </c>
      <c r="H50" s="92" t="s">
        <v>97</v>
      </c>
      <c r="I50" s="136">
        <f t="shared" ref="I50:I51" si="2">+D50*F50</f>
        <v>500000</v>
      </c>
      <c r="J50" s="138"/>
      <c r="K50" s="2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48" t="s">
        <v>217</v>
      </c>
      <c r="B51" s="137"/>
      <c r="C51" s="138"/>
      <c r="D51" s="78">
        <v>68</v>
      </c>
      <c r="E51" s="78" t="s">
        <v>206</v>
      </c>
      <c r="F51" s="100">
        <v>9289.24</v>
      </c>
      <c r="G51" s="101" t="s">
        <v>218</v>
      </c>
      <c r="H51" s="92" t="s">
        <v>97</v>
      </c>
      <c r="I51" s="136">
        <f t="shared" si="2"/>
        <v>631668.31999999995</v>
      </c>
      <c r="J51" s="138"/>
      <c r="K51" s="27"/>
      <c r="L51" s="1"/>
      <c r="M51" s="8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33" t="s">
        <v>63</v>
      </c>
      <c r="B52" s="134"/>
      <c r="C52" s="134"/>
      <c r="D52" s="134"/>
      <c r="E52" s="134"/>
      <c r="F52" s="134"/>
      <c r="G52" s="134"/>
      <c r="H52" s="135"/>
      <c r="I52" s="139">
        <f>SUM(I49:J51)</f>
        <v>10777568.32</v>
      </c>
      <c r="J52" s="135"/>
      <c r="K52" s="3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49"/>
      <c r="B53" s="134"/>
      <c r="C53" s="134"/>
      <c r="D53" s="134"/>
      <c r="E53" s="134"/>
      <c r="F53" s="134"/>
      <c r="G53" s="134"/>
      <c r="H53" s="134"/>
      <c r="I53" s="43"/>
      <c r="J53" s="33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7"/>
      <c r="E54" s="35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17">
        <f>I52+I43+I36+I20+I29</f>
        <v>18029530.719999999</v>
      </c>
      <c r="K55" s="1">
        <f>J55/'Dados Gerais'!E15</f>
        <v>343.31474193408337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7">
    <mergeCell ref="I34:J34"/>
    <mergeCell ref="I35:J35"/>
    <mergeCell ref="A35:C35"/>
    <mergeCell ref="A36:H36"/>
    <mergeCell ref="I36:J36"/>
    <mergeCell ref="A37:H37"/>
    <mergeCell ref="D41:E41"/>
    <mergeCell ref="F41:G41"/>
    <mergeCell ref="I41:J41"/>
    <mergeCell ref="I42:J42"/>
    <mergeCell ref="A43:H43"/>
    <mergeCell ref="I43:J43"/>
    <mergeCell ref="A44:H44"/>
    <mergeCell ref="A41:C41"/>
    <mergeCell ref="A42:C42"/>
    <mergeCell ref="A48:C48"/>
    <mergeCell ref="D48:E48"/>
    <mergeCell ref="F48:G48"/>
    <mergeCell ref="I48:J48"/>
    <mergeCell ref="I49:J49"/>
    <mergeCell ref="A49:C49"/>
    <mergeCell ref="A2:K4"/>
    <mergeCell ref="B7:K7"/>
    <mergeCell ref="B8:K8"/>
    <mergeCell ref="B9:K9"/>
    <mergeCell ref="B10:D10"/>
    <mergeCell ref="J10:K10"/>
    <mergeCell ref="A14:C14"/>
    <mergeCell ref="I14:J14"/>
    <mergeCell ref="I18:J18"/>
    <mergeCell ref="I19:J19"/>
    <mergeCell ref="I20:J20"/>
    <mergeCell ref="D14:E14"/>
    <mergeCell ref="F14:G14"/>
    <mergeCell ref="A15:C15"/>
    <mergeCell ref="I15:J15"/>
    <mergeCell ref="A16:C16"/>
    <mergeCell ref="I16:J16"/>
    <mergeCell ref="I17:J17"/>
    <mergeCell ref="A17:C17"/>
    <mergeCell ref="A18:C18"/>
    <mergeCell ref="A19:C19"/>
    <mergeCell ref="A20:H20"/>
    <mergeCell ref="I25:J25"/>
    <mergeCell ref="I26:J26"/>
    <mergeCell ref="I27:J27"/>
    <mergeCell ref="I28:J28"/>
    <mergeCell ref="I29:J29"/>
    <mergeCell ref="A21:H21"/>
    <mergeCell ref="D25:E25"/>
    <mergeCell ref="F25:G25"/>
    <mergeCell ref="A25:C25"/>
    <mergeCell ref="A26:C26"/>
    <mergeCell ref="A27:C27"/>
    <mergeCell ref="A28:C28"/>
    <mergeCell ref="A29:H29"/>
    <mergeCell ref="A30:H30"/>
    <mergeCell ref="A34:C34"/>
    <mergeCell ref="D34:E34"/>
    <mergeCell ref="F34:G34"/>
    <mergeCell ref="A50:C50"/>
    <mergeCell ref="A51:C51"/>
    <mergeCell ref="A52:H52"/>
    <mergeCell ref="A53:H53"/>
    <mergeCell ref="I50:J50"/>
    <mergeCell ref="I51:J51"/>
    <mergeCell ref="I52:J52"/>
  </mergeCells>
  <dataValidations count="1">
    <dataValidation type="list" allowBlank="1" showErrorMessage="1" sqref="J10" xr:uid="{00000000-0002-0000-0700-000000000000}">
      <formula1>$N$1:$N$6</formula1>
    </dataValidation>
  </dataValidations>
  <pageMargins left="0.55118110236220474" right="0.27559055118110237" top="0.59055118110236227" bottom="0.59055118110236227" header="0" footer="0"/>
  <pageSetup paperSize="9" scale="9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3C66"/>
  </sheetPr>
  <dimension ref="A1:Z1000"/>
  <sheetViews>
    <sheetView showGridLines="0" workbookViewId="0"/>
  </sheetViews>
  <sheetFormatPr defaultColWidth="14.44140625" defaultRowHeight="15" customHeight="1"/>
  <cols>
    <col min="1" max="1" width="17.44140625" customWidth="1"/>
    <col min="2" max="2" width="9.88671875" customWidth="1"/>
    <col min="3" max="3" width="8.88671875" customWidth="1"/>
    <col min="4" max="4" width="14" customWidth="1"/>
    <col min="5" max="5" width="7.5546875" customWidth="1"/>
    <col min="6" max="6" width="10.6640625" customWidth="1"/>
    <col min="7" max="7" width="15.88671875" customWidth="1"/>
    <col min="8" max="8" width="12.88671875" customWidth="1"/>
    <col min="9" max="9" width="11.109375" customWidth="1"/>
    <col min="10" max="10" width="13.109375" customWidth="1"/>
    <col min="11" max="11" width="6.44140625" customWidth="1"/>
    <col min="12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219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21" t="s">
        <v>70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 t="s">
        <v>20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50" t="s">
        <v>220</v>
      </c>
      <c r="B15" s="151"/>
      <c r="C15" s="152"/>
      <c r="D15" s="77">
        <f>+D19+D20</f>
        <v>8661.9340000000011</v>
      </c>
      <c r="E15" s="74" t="s">
        <v>19</v>
      </c>
      <c r="F15" s="61">
        <v>15.5</v>
      </c>
      <c r="G15" s="62" t="s">
        <v>142</v>
      </c>
      <c r="H15" s="89" t="s">
        <v>97</v>
      </c>
      <c r="I15" s="153">
        <f>+D15*F15</f>
        <v>134259.97700000001</v>
      </c>
      <c r="J15" s="152"/>
      <c r="K15" s="2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48" t="s">
        <v>221</v>
      </c>
      <c r="B16" s="137"/>
      <c r="C16" s="138"/>
      <c r="D16" s="85">
        <v>119.25</v>
      </c>
      <c r="E16" s="74" t="s">
        <v>19</v>
      </c>
      <c r="F16" s="75">
        <v>45</v>
      </c>
      <c r="G16" s="76" t="s">
        <v>142</v>
      </c>
      <c r="H16" s="90" t="s">
        <v>97</v>
      </c>
      <c r="I16" s="136">
        <f t="shared" ref="I16:I17" si="0">+F16*D16</f>
        <v>5366.25</v>
      </c>
      <c r="J16" s="138"/>
      <c r="K16" s="4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48" t="s">
        <v>222</v>
      </c>
      <c r="B17" s="137"/>
      <c r="C17" s="138"/>
      <c r="D17" s="85">
        <f>0.7*Infraestrutura!D27</f>
        <v>1870.316</v>
      </c>
      <c r="E17" s="74" t="s">
        <v>19</v>
      </c>
      <c r="F17" s="75">
        <v>45</v>
      </c>
      <c r="G17" s="76" t="s">
        <v>142</v>
      </c>
      <c r="H17" s="90" t="s">
        <v>97</v>
      </c>
      <c r="I17" s="136">
        <f t="shared" si="0"/>
        <v>84164.22</v>
      </c>
      <c r="J17" s="138"/>
      <c r="K17" s="4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48" t="s">
        <v>223</v>
      </c>
      <c r="B18" s="137"/>
      <c r="C18" s="138"/>
      <c r="D18" s="85">
        <v>1</v>
      </c>
      <c r="E18" s="74" t="s">
        <v>125</v>
      </c>
      <c r="F18" s="75">
        <v>2.8</v>
      </c>
      <c r="G18" s="76" t="s">
        <v>175</v>
      </c>
      <c r="H18" s="90" t="s">
        <v>97</v>
      </c>
      <c r="I18" s="136">
        <f>+F18*'Dados Gerais'!$E$15</f>
        <v>147044.91199999998</v>
      </c>
      <c r="J18" s="138"/>
      <c r="K18" s="4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48" t="s">
        <v>224</v>
      </c>
      <c r="B19" s="137"/>
      <c r="C19" s="138"/>
      <c r="D19" s="85">
        <f>+F19*'Dados Gerais'!$E$15</f>
        <v>5251.6040000000003</v>
      </c>
      <c r="E19" s="74" t="s">
        <v>19</v>
      </c>
      <c r="F19" s="75">
        <v>0.1</v>
      </c>
      <c r="G19" s="76" t="s">
        <v>155</v>
      </c>
      <c r="H19" s="90" t="s">
        <v>97</v>
      </c>
      <c r="I19" s="136">
        <f>+D19*40</f>
        <v>210064.16</v>
      </c>
      <c r="J19" s="138"/>
      <c r="K19" s="4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48" t="s">
        <v>225</v>
      </c>
      <c r="B20" s="137"/>
      <c r="C20" s="138"/>
      <c r="D20" s="85">
        <v>3410.33</v>
      </c>
      <c r="E20" s="74" t="s">
        <v>19</v>
      </c>
      <c r="F20" s="65">
        <v>0.2</v>
      </c>
      <c r="G20" s="76" t="s">
        <v>155</v>
      </c>
      <c r="H20" s="83" t="s">
        <v>97</v>
      </c>
      <c r="I20" s="136">
        <f>+D20*105</f>
        <v>358084.64999999997</v>
      </c>
      <c r="J20" s="138"/>
      <c r="K20" s="4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48" t="s">
        <v>226</v>
      </c>
      <c r="B21" s="137"/>
      <c r="C21" s="138"/>
      <c r="D21" s="85">
        <v>1</v>
      </c>
      <c r="E21" s="74" t="s">
        <v>125</v>
      </c>
      <c r="F21" s="65">
        <v>0.75</v>
      </c>
      <c r="G21" s="66" t="s">
        <v>175</v>
      </c>
      <c r="H21" s="83" t="s">
        <v>97</v>
      </c>
      <c r="I21" s="136">
        <f>+F21*'Dados Gerais'!$E$15</f>
        <v>39387.03</v>
      </c>
      <c r="J21" s="138"/>
      <c r="K21" s="4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64" t="s">
        <v>227</v>
      </c>
      <c r="B22" s="157"/>
      <c r="C22" s="158"/>
      <c r="D22" s="79">
        <f>+D20</f>
        <v>3410.33</v>
      </c>
      <c r="E22" s="68" t="s">
        <v>19</v>
      </c>
      <c r="F22" s="88">
        <v>60</v>
      </c>
      <c r="G22" s="69" t="s">
        <v>142</v>
      </c>
      <c r="H22" s="70" t="s">
        <v>97</v>
      </c>
      <c r="I22" s="156">
        <f>+D22*60</f>
        <v>204619.8</v>
      </c>
      <c r="J22" s="158"/>
      <c r="K22" s="4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33" t="s">
        <v>63</v>
      </c>
      <c r="B23" s="134"/>
      <c r="C23" s="134"/>
      <c r="D23" s="134"/>
      <c r="E23" s="134"/>
      <c r="F23" s="134"/>
      <c r="G23" s="134"/>
      <c r="H23" s="135"/>
      <c r="I23" s="139">
        <f>SUM(I15:J22)</f>
        <v>1182990.9990000001</v>
      </c>
      <c r="J23" s="135"/>
      <c r="K23" s="3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49"/>
      <c r="B24" s="134"/>
      <c r="C24" s="134"/>
      <c r="D24" s="134"/>
      <c r="E24" s="134"/>
      <c r="F24" s="134"/>
      <c r="G24" s="134"/>
      <c r="H24" s="134"/>
      <c r="I24" s="43"/>
      <c r="J24" s="33"/>
      <c r="K24" s="3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7"/>
      <c r="E25" s="35"/>
      <c r="F25" s="1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7"/>
      <c r="E26" s="35"/>
      <c r="F26" s="18"/>
      <c r="G26" s="1"/>
      <c r="H26" s="1"/>
      <c r="I26" s="1"/>
      <c r="J26" s="17">
        <f>I23</f>
        <v>1182990.9990000001</v>
      </c>
      <c r="K26" s="1">
        <f>J26/'Dados Gerais'!E15</f>
        <v>22.526279570965368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7"/>
      <c r="E27" s="35"/>
      <c r="F27" s="1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7"/>
      <c r="E28" s="35"/>
      <c r="F28" s="1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7"/>
      <c r="E29" s="35"/>
      <c r="F29" s="1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7"/>
      <c r="E30" s="35"/>
      <c r="F30" s="1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7"/>
      <c r="E31" s="35"/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7"/>
      <c r="E32" s="35"/>
      <c r="F32" s="1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7"/>
      <c r="E33" s="35"/>
      <c r="F33" s="1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7"/>
      <c r="E34" s="35"/>
      <c r="F34" s="1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7"/>
      <c r="E35" s="35"/>
      <c r="F35" s="1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7"/>
      <c r="E36" s="35"/>
      <c r="F36" s="1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7"/>
      <c r="E37" s="35"/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7"/>
      <c r="E38" s="35"/>
      <c r="F38" s="1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7"/>
      <c r="E39" s="35"/>
      <c r="F39" s="1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7"/>
      <c r="E40" s="35"/>
      <c r="F40" s="1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7"/>
      <c r="E41" s="35"/>
      <c r="F41" s="1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7"/>
      <c r="E42" s="35"/>
      <c r="F42" s="1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7"/>
      <c r="E43" s="35"/>
      <c r="F43" s="1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7"/>
      <c r="E44" s="35"/>
      <c r="F44" s="1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7"/>
      <c r="E45" s="35"/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7"/>
      <c r="E46" s="35"/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7"/>
      <c r="E47" s="35"/>
      <c r="F47" s="1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7"/>
      <c r="E48" s="35"/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7"/>
      <c r="E49" s="35"/>
      <c r="F49" s="1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7"/>
      <c r="E50" s="35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7"/>
      <c r="E51" s="35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7"/>
      <c r="E52" s="35"/>
      <c r="F52" s="1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7"/>
      <c r="E53" s="35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7"/>
      <c r="E54" s="35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9">
    <mergeCell ref="A2:K4"/>
    <mergeCell ref="B7:K7"/>
    <mergeCell ref="B8:K8"/>
    <mergeCell ref="B9:K9"/>
    <mergeCell ref="B10:D10"/>
    <mergeCell ref="J10:K10"/>
    <mergeCell ref="A14:C14"/>
    <mergeCell ref="I14:J14"/>
    <mergeCell ref="A17:C17"/>
    <mergeCell ref="A18:C18"/>
    <mergeCell ref="A19:C19"/>
    <mergeCell ref="I18:J18"/>
    <mergeCell ref="I19:J19"/>
    <mergeCell ref="A15:C15"/>
    <mergeCell ref="A16:C16"/>
    <mergeCell ref="A20:C20"/>
    <mergeCell ref="A21:C21"/>
    <mergeCell ref="A22:C22"/>
    <mergeCell ref="A23:H23"/>
    <mergeCell ref="A24:H24"/>
    <mergeCell ref="I20:J20"/>
    <mergeCell ref="I21:J21"/>
    <mergeCell ref="I22:J22"/>
    <mergeCell ref="I23:J23"/>
    <mergeCell ref="D14:E14"/>
    <mergeCell ref="F14:G14"/>
    <mergeCell ref="I15:J15"/>
    <mergeCell ref="I16:J16"/>
    <mergeCell ref="I17:J17"/>
  </mergeCells>
  <pageMargins left="0.55118110236220474" right="0.27559055118110237" top="0.59055118110236227" bottom="0.59055118110236227" header="0" footer="0"/>
  <pageSetup paperSize="9" scale="9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3C66"/>
  </sheetPr>
  <dimension ref="A1:Z1000"/>
  <sheetViews>
    <sheetView showGridLines="0" tabSelected="1" workbookViewId="0">
      <selection activeCell="N20" sqref="N20"/>
    </sheetView>
  </sheetViews>
  <sheetFormatPr defaultColWidth="14.44140625" defaultRowHeight="15" customHeight="1"/>
  <cols>
    <col min="1" max="1" width="17.44140625" customWidth="1"/>
    <col min="2" max="2" width="9.88671875" customWidth="1"/>
    <col min="3" max="3" width="8.88671875" customWidth="1"/>
    <col min="4" max="4" width="14" customWidth="1"/>
    <col min="5" max="5" width="7.5546875" customWidth="1"/>
    <col min="6" max="6" width="10.6640625" customWidth="1"/>
    <col min="7" max="7" width="15.88671875" customWidth="1"/>
    <col min="8" max="8" width="15.109375" customWidth="1"/>
    <col min="9" max="9" width="11.109375" customWidth="1"/>
    <col min="10" max="10" width="13.109375" customWidth="1"/>
    <col min="11" max="11" width="6.44140625" customWidth="1"/>
    <col min="12" max="12" width="11.33203125" customWidth="1"/>
    <col min="13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228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21" t="s">
        <v>71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 t="s">
        <v>20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83" t="s">
        <v>229</v>
      </c>
      <c r="B15" s="184"/>
      <c r="C15" s="170"/>
      <c r="D15" s="85">
        <v>33084.660000000003</v>
      </c>
      <c r="E15" s="74" t="s">
        <v>19</v>
      </c>
      <c r="F15" s="75">
        <v>35</v>
      </c>
      <c r="G15" s="76" t="s">
        <v>230</v>
      </c>
      <c r="H15" s="90" t="s">
        <v>97</v>
      </c>
      <c r="I15" s="136">
        <f t="shared" ref="I15:I17" si="0">+D15*F15</f>
        <v>1157963.1000000001</v>
      </c>
      <c r="J15" s="138"/>
      <c r="K15" s="27"/>
      <c r="L15" s="1">
        <f>1956.96+1301.35+1301.13+1300.75+1300.75+1300.75+1300.75+1300.75+1222.64+1230.56+1889.9+1229.42+1233.95+1230.08+1231.33+1230.94+1239.37+1067.92+1071.46+1097.34+927.9+667.22+673.14+687.7+463.6+459.55+635.37+1300.75+1231.33</f>
        <v>33084.659999999996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>
      <c r="A16" s="183" t="s">
        <v>231</v>
      </c>
      <c r="B16" s="184"/>
      <c r="C16" s="170"/>
      <c r="D16" s="85">
        <f>(Alvenaria!D15+Alvenaria!D17)*1.8</f>
        <v>82195.937999999995</v>
      </c>
      <c r="E16" s="74" t="s">
        <v>19</v>
      </c>
      <c r="F16" s="75">
        <v>2.5</v>
      </c>
      <c r="G16" s="76" t="s">
        <v>162</v>
      </c>
      <c r="H16" s="90" t="s">
        <v>97</v>
      </c>
      <c r="I16" s="136">
        <f t="shared" si="0"/>
        <v>205489.84499999997</v>
      </c>
      <c r="J16" s="138"/>
      <c r="K16" s="4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148" t="s">
        <v>232</v>
      </c>
      <c r="B17" s="137"/>
      <c r="C17" s="138"/>
      <c r="D17" s="85">
        <f>D16</f>
        <v>82195.937999999995</v>
      </c>
      <c r="E17" s="74" t="s">
        <v>19</v>
      </c>
      <c r="F17" s="75">
        <v>20</v>
      </c>
      <c r="G17" s="76" t="s">
        <v>162</v>
      </c>
      <c r="H17" s="90" t="s">
        <v>97</v>
      </c>
      <c r="I17" s="136">
        <f t="shared" si="0"/>
        <v>1643918.7599999998</v>
      </c>
      <c r="J17" s="138"/>
      <c r="K17" s="4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48" t="s">
        <v>233</v>
      </c>
      <c r="B18" s="137"/>
      <c r="C18" s="138"/>
      <c r="D18" s="85">
        <v>1</v>
      </c>
      <c r="E18" s="74" t="s">
        <v>125</v>
      </c>
      <c r="F18" s="75">
        <v>10</v>
      </c>
      <c r="G18" s="76" t="s">
        <v>175</v>
      </c>
      <c r="H18" s="90" t="s">
        <v>97</v>
      </c>
      <c r="I18" s="136">
        <f>+F18*'Dados Gerais'!$E$15</f>
        <v>525160.4</v>
      </c>
      <c r="J18" s="138"/>
      <c r="K18" s="4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148" t="s">
        <v>234</v>
      </c>
      <c r="B19" s="137"/>
      <c r="C19" s="138"/>
      <c r="D19" s="85">
        <f>D15</f>
        <v>33084.660000000003</v>
      </c>
      <c r="E19" s="74" t="s">
        <v>19</v>
      </c>
      <c r="F19" s="75">
        <v>26</v>
      </c>
      <c r="G19" s="76" t="s">
        <v>142</v>
      </c>
      <c r="H19" s="90" t="s">
        <v>97</v>
      </c>
      <c r="I19" s="136">
        <f>F19*D19</f>
        <v>860201.16000000015</v>
      </c>
      <c r="J19" s="138"/>
      <c r="K19" s="4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148" t="s">
        <v>235</v>
      </c>
      <c r="B20" s="137"/>
      <c r="C20" s="138"/>
      <c r="D20" s="85">
        <f>D17</f>
        <v>82195.937999999995</v>
      </c>
      <c r="E20" s="74" t="s">
        <v>19</v>
      </c>
      <c r="F20" s="75">
        <v>30.5</v>
      </c>
      <c r="G20" s="76" t="s">
        <v>142</v>
      </c>
      <c r="H20" s="90" t="s">
        <v>97</v>
      </c>
      <c r="I20" s="136">
        <f>35*D20</f>
        <v>2876857.8299999996</v>
      </c>
      <c r="J20" s="138"/>
      <c r="K20" s="4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33" t="s">
        <v>63</v>
      </c>
      <c r="B21" s="134"/>
      <c r="C21" s="134"/>
      <c r="D21" s="134"/>
      <c r="E21" s="134"/>
      <c r="F21" s="134"/>
      <c r="G21" s="134"/>
      <c r="H21" s="135"/>
      <c r="I21" s="139">
        <f>SUM(I15:J20)</f>
        <v>7269591.0950000007</v>
      </c>
      <c r="J21" s="135"/>
      <c r="K21" s="3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49"/>
      <c r="B22" s="134"/>
      <c r="C22" s="134"/>
      <c r="D22" s="134"/>
      <c r="E22" s="134"/>
      <c r="F22" s="134"/>
      <c r="G22" s="134"/>
      <c r="H22" s="134"/>
      <c r="I22" s="43"/>
      <c r="J22" s="33"/>
      <c r="K22" s="3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7"/>
      <c r="E23" s="35"/>
      <c r="F23" s="1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7"/>
      <c r="E24" s="35"/>
      <c r="F24" s="18"/>
      <c r="G24" s="1"/>
      <c r="H24" s="1"/>
      <c r="I24" s="1"/>
      <c r="J24" s="17">
        <f>I21</f>
        <v>7269591.0950000007</v>
      </c>
      <c r="K24" s="1">
        <f>J24/'Dados Gerais'!E15</f>
        <v>138.42610933726155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7"/>
      <c r="E25" s="35"/>
      <c r="F25" s="1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7"/>
      <c r="E26" s="35"/>
      <c r="F26" s="1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7"/>
      <c r="E27" s="35"/>
      <c r="F27" s="1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7"/>
      <c r="E28" s="35"/>
      <c r="F28" s="1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7"/>
      <c r="E29" s="35"/>
      <c r="F29" s="1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7"/>
      <c r="E30" s="35"/>
      <c r="F30" s="1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7"/>
      <c r="E31" s="35"/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7"/>
      <c r="E32" s="35"/>
      <c r="F32" s="1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7"/>
      <c r="E33" s="35"/>
      <c r="F33" s="1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7"/>
      <c r="E34" s="35"/>
      <c r="F34" s="1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7"/>
      <c r="E35" s="35"/>
      <c r="F35" s="1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7"/>
      <c r="E36" s="35"/>
      <c r="F36" s="1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7"/>
      <c r="E37" s="35"/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7"/>
      <c r="E38" s="35"/>
      <c r="F38" s="1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7"/>
      <c r="E39" s="35"/>
      <c r="F39" s="1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7"/>
      <c r="E40" s="35"/>
      <c r="F40" s="1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7"/>
      <c r="E41" s="35"/>
      <c r="F41" s="1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7"/>
      <c r="E42" s="35"/>
      <c r="F42" s="1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7"/>
      <c r="E43" s="35"/>
      <c r="F43" s="1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7"/>
      <c r="E44" s="35"/>
      <c r="F44" s="1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7"/>
      <c r="E45" s="35"/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7"/>
      <c r="E46" s="35"/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7"/>
      <c r="E47" s="35"/>
      <c r="F47" s="1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7"/>
      <c r="E48" s="35"/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7"/>
      <c r="E49" s="35"/>
      <c r="F49" s="1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7"/>
      <c r="E50" s="35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7"/>
      <c r="E51" s="35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7"/>
      <c r="E52" s="35"/>
      <c r="F52" s="1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7"/>
      <c r="E53" s="35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7"/>
      <c r="E54" s="35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A2:K4"/>
    <mergeCell ref="B7:K7"/>
    <mergeCell ref="B8:K8"/>
    <mergeCell ref="B9:K9"/>
    <mergeCell ref="B10:D10"/>
    <mergeCell ref="J10:K10"/>
    <mergeCell ref="A14:C14"/>
    <mergeCell ref="I14:J14"/>
    <mergeCell ref="A17:C17"/>
    <mergeCell ref="A18:C18"/>
    <mergeCell ref="A19:C19"/>
    <mergeCell ref="D14:E14"/>
    <mergeCell ref="F14:G14"/>
    <mergeCell ref="A15:C15"/>
    <mergeCell ref="I15:J15"/>
    <mergeCell ref="A16:C16"/>
    <mergeCell ref="I16:J16"/>
    <mergeCell ref="I17:J17"/>
    <mergeCell ref="A20:C20"/>
    <mergeCell ref="A21:H21"/>
    <mergeCell ref="A22:H22"/>
    <mergeCell ref="I18:J18"/>
    <mergeCell ref="I19:J19"/>
    <mergeCell ref="I20:J20"/>
    <mergeCell ref="I21:J21"/>
  </mergeCells>
  <pageMargins left="0.55118110236220474" right="0.27559055118110237" top="0.59055118110236227" bottom="0.59055118110236227" header="0" footer="0"/>
  <pageSetup paperSize="9" scale="95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3C66"/>
  </sheetPr>
  <dimension ref="A1:Z1000"/>
  <sheetViews>
    <sheetView showGridLines="0" workbookViewId="0"/>
  </sheetViews>
  <sheetFormatPr defaultColWidth="14.44140625" defaultRowHeight="15" customHeight="1"/>
  <cols>
    <col min="1" max="1" width="17.44140625" customWidth="1"/>
    <col min="2" max="2" width="9.88671875" customWidth="1"/>
    <col min="3" max="3" width="8.88671875" customWidth="1"/>
    <col min="4" max="4" width="14" customWidth="1"/>
    <col min="5" max="5" width="7.5546875" customWidth="1"/>
    <col min="6" max="6" width="10.6640625" customWidth="1"/>
    <col min="7" max="7" width="15.88671875" customWidth="1"/>
    <col min="8" max="8" width="12.88671875" customWidth="1"/>
    <col min="9" max="9" width="11.109375" customWidth="1"/>
    <col min="10" max="10" width="14.5546875" customWidth="1"/>
    <col min="11" max="11" width="6.44140625" customWidth="1"/>
    <col min="12" max="12" width="11.33203125" customWidth="1"/>
    <col min="13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236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21" t="s">
        <v>237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 t="s">
        <v>20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50" t="s">
        <v>238</v>
      </c>
      <c r="B15" s="151"/>
      <c r="C15" s="152"/>
      <c r="D15" s="77">
        <f>29225.55-9741.85-210.26</f>
        <v>19273.439999999999</v>
      </c>
      <c r="E15" s="74" t="s">
        <v>19</v>
      </c>
      <c r="F15" s="61">
        <v>50</v>
      </c>
      <c r="G15" s="62" t="s">
        <v>142</v>
      </c>
      <c r="H15" s="89" t="s">
        <v>97</v>
      </c>
      <c r="I15" s="161">
        <f t="shared" ref="I15:I17" si="0">+D15*F15</f>
        <v>963671.99999999988</v>
      </c>
      <c r="J15" s="152"/>
      <c r="K15" s="27"/>
      <c r="L15" s="1">
        <f>1285.87+293.62+294.5+210.26+294.5+282.34+282.34+282.34+282.34+251.68+251.68+251.68+270.9+165.03+165.03+165.03+103.72+103.72+1351.13+2138.97+183.99+791.01+791.01+791.01+791.01+792.69+791.01+791.01+1184.52+1233.65+14.1+181.57+7.41+1233.65+1033.88+1027.05+1026.97+1027.38+893.11+892.93+894.08+671.43+18.02+492.77+491.8+491.72+246.88+246.88+45.43+69.77+1351.13</f>
        <v>29225.550000000014</v>
      </c>
      <c r="M15" s="1">
        <f>L15/3</f>
        <v>9741.850000000004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50" t="s">
        <v>239</v>
      </c>
      <c r="B16" s="151"/>
      <c r="C16" s="152"/>
      <c r="D16" s="77">
        <v>9741.85</v>
      </c>
      <c r="E16" s="74" t="s">
        <v>19</v>
      </c>
      <c r="F16" s="61">
        <v>80</v>
      </c>
      <c r="G16" s="62" t="s">
        <v>142</v>
      </c>
      <c r="H16" s="89" t="s">
        <v>97</v>
      </c>
      <c r="I16" s="161">
        <f t="shared" si="0"/>
        <v>779348</v>
      </c>
      <c r="J16" s="152"/>
      <c r="K16" s="2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50" t="s">
        <v>239</v>
      </c>
      <c r="B17" s="151"/>
      <c r="C17" s="152"/>
      <c r="D17" s="77">
        <v>210.26</v>
      </c>
      <c r="E17" s="74" t="s">
        <v>19</v>
      </c>
      <c r="F17" s="61">
        <v>120</v>
      </c>
      <c r="G17" s="62" t="s">
        <v>142</v>
      </c>
      <c r="H17" s="89" t="s">
        <v>97</v>
      </c>
      <c r="I17" s="161">
        <f t="shared" si="0"/>
        <v>25231.199999999997</v>
      </c>
      <c r="J17" s="152"/>
      <c r="K17" s="2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33" t="s">
        <v>63</v>
      </c>
      <c r="B18" s="134"/>
      <c r="C18" s="134"/>
      <c r="D18" s="134"/>
      <c r="E18" s="134"/>
      <c r="F18" s="134"/>
      <c r="G18" s="134"/>
      <c r="H18" s="135"/>
      <c r="I18" s="160">
        <f>SUM(I15:J17)</f>
        <v>1768251.2</v>
      </c>
      <c r="J18" s="135"/>
      <c r="K18" s="3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49"/>
      <c r="B19" s="134"/>
      <c r="C19" s="134"/>
      <c r="D19" s="134"/>
      <c r="E19" s="134"/>
      <c r="F19" s="134"/>
      <c r="G19" s="134"/>
      <c r="H19" s="134"/>
      <c r="I19" s="43"/>
      <c r="J19" s="33"/>
      <c r="K19" s="3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"/>
      <c r="C20" s="1"/>
      <c r="D20" s="17"/>
      <c r="E20" s="35"/>
      <c r="F20" s="18"/>
      <c r="G20" s="1"/>
      <c r="H20" s="1"/>
      <c r="I20" s="1"/>
      <c r="J20" s="1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/>
      <c r="C21" s="1"/>
      <c r="D21" s="17"/>
      <c r="E21" s="35"/>
      <c r="F21" s="18"/>
      <c r="G21" s="1"/>
      <c r="H21" s="1"/>
      <c r="I21" s="1"/>
      <c r="J21" s="17">
        <f>I18</f>
        <v>1768251.2</v>
      </c>
      <c r="K21" s="1">
        <f>J21/'Dados Gerais'!E15</f>
        <v>33.670688041215598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17"/>
      <c r="E22" s="35"/>
      <c r="F22" s="1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7"/>
      <c r="E23" s="35"/>
      <c r="F23" s="18"/>
      <c r="G23" s="1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7"/>
      <c r="E24" s="35"/>
      <c r="F24" s="1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7"/>
      <c r="E25" s="35"/>
      <c r="F25" s="1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7"/>
      <c r="E26" s="35"/>
      <c r="F26" s="1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7"/>
      <c r="E27" s="35"/>
      <c r="F27" s="1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7"/>
      <c r="E28" s="35"/>
      <c r="F28" s="1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7"/>
      <c r="E29" s="35"/>
      <c r="F29" s="1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7"/>
      <c r="E30" s="35"/>
      <c r="F30" s="1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7"/>
      <c r="E31" s="35"/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7"/>
      <c r="E32" s="35"/>
      <c r="F32" s="1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7"/>
      <c r="E33" s="35"/>
      <c r="F33" s="1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7"/>
      <c r="E34" s="35"/>
      <c r="F34" s="1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7"/>
      <c r="E35" s="35"/>
      <c r="F35" s="1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7"/>
      <c r="E36" s="35"/>
      <c r="F36" s="1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7"/>
      <c r="E37" s="35"/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7"/>
      <c r="E38" s="35"/>
      <c r="F38" s="1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7"/>
      <c r="E39" s="35"/>
      <c r="F39" s="1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7"/>
      <c r="E40" s="35"/>
      <c r="F40" s="1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7"/>
      <c r="E41" s="35"/>
      <c r="F41" s="1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7"/>
      <c r="E42" s="35"/>
      <c r="F42" s="1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7"/>
      <c r="E43" s="35"/>
      <c r="F43" s="1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7"/>
      <c r="E44" s="35"/>
      <c r="F44" s="1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7"/>
      <c r="E45" s="35"/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7"/>
      <c r="E46" s="35"/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7"/>
      <c r="E47" s="35"/>
      <c r="F47" s="1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7"/>
      <c r="E48" s="35"/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7"/>
      <c r="E49" s="35"/>
      <c r="F49" s="1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7"/>
      <c r="E50" s="35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7"/>
      <c r="E51" s="35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7"/>
      <c r="E52" s="35"/>
      <c r="F52" s="1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7"/>
      <c r="E53" s="35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7"/>
      <c r="E54" s="35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A2:K4"/>
    <mergeCell ref="B7:K7"/>
    <mergeCell ref="B8:K8"/>
    <mergeCell ref="B9:K9"/>
    <mergeCell ref="B10:D10"/>
    <mergeCell ref="J10:K10"/>
    <mergeCell ref="A19:H19"/>
    <mergeCell ref="D14:E14"/>
    <mergeCell ref="F14:G14"/>
    <mergeCell ref="A15:C15"/>
    <mergeCell ref="I15:J15"/>
    <mergeCell ref="A16:C16"/>
    <mergeCell ref="I16:J16"/>
    <mergeCell ref="I17:J17"/>
    <mergeCell ref="A14:C14"/>
    <mergeCell ref="I14:J14"/>
    <mergeCell ref="A17:C17"/>
    <mergeCell ref="A18:H18"/>
    <mergeCell ref="I18:J18"/>
  </mergeCells>
  <pageMargins left="0.55118110236220474" right="0.27559055118110237" top="0.59055118110236227" bottom="0.59055118110236227" header="0" footer="0"/>
  <pageSetup paperSize="9" scale="95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3C66"/>
  </sheetPr>
  <dimension ref="A1:Z1000"/>
  <sheetViews>
    <sheetView showGridLines="0" workbookViewId="0"/>
  </sheetViews>
  <sheetFormatPr defaultColWidth="14.44140625" defaultRowHeight="15" customHeight="1"/>
  <cols>
    <col min="1" max="1" width="17.44140625" customWidth="1"/>
    <col min="2" max="2" width="9.88671875" customWidth="1"/>
    <col min="3" max="3" width="8.88671875" customWidth="1"/>
    <col min="4" max="4" width="14" customWidth="1"/>
    <col min="5" max="5" width="7.5546875" customWidth="1"/>
    <col min="6" max="6" width="10.6640625" customWidth="1"/>
    <col min="7" max="7" width="15.88671875" customWidth="1"/>
    <col min="8" max="8" width="12.88671875" customWidth="1"/>
    <col min="9" max="9" width="14.6640625" customWidth="1"/>
    <col min="10" max="10" width="14.5546875" customWidth="1"/>
    <col min="11" max="11" width="9.44140625" customWidth="1"/>
    <col min="12" max="12" width="11.33203125" customWidth="1"/>
    <col min="13" max="13" width="15.109375" customWidth="1"/>
    <col min="14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240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21" t="s">
        <v>73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 t="s">
        <v>20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50" t="s">
        <v>241</v>
      </c>
      <c r="B15" s="151"/>
      <c r="C15" s="152"/>
      <c r="D15" s="77">
        <f>7567.86+317.42</f>
        <v>7885.28</v>
      </c>
      <c r="E15" s="77" t="s">
        <v>109</v>
      </c>
      <c r="F15" s="61">
        <v>100</v>
      </c>
      <c r="G15" s="66" t="s">
        <v>142</v>
      </c>
      <c r="H15" s="89" t="s">
        <v>97</v>
      </c>
      <c r="I15" s="153">
        <f t="shared" ref="I15:I20" si="0">+F15*D15</f>
        <v>788528</v>
      </c>
      <c r="J15" s="152"/>
      <c r="K15" s="27"/>
      <c r="L15" s="1" t="s">
        <v>242</v>
      </c>
      <c r="M15" s="10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48" t="s">
        <v>243</v>
      </c>
      <c r="B16" s="137"/>
      <c r="C16" s="138"/>
      <c r="D16" s="78">
        <v>256.02</v>
      </c>
      <c r="E16" s="78" t="s">
        <v>109</v>
      </c>
      <c r="F16" s="65">
        <v>200</v>
      </c>
      <c r="G16" s="66" t="s">
        <v>142</v>
      </c>
      <c r="H16" s="83" t="s">
        <v>97</v>
      </c>
      <c r="I16" s="136">
        <f t="shared" si="0"/>
        <v>51204</v>
      </c>
      <c r="J16" s="138"/>
      <c r="K16" s="2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48" t="s">
        <v>244</v>
      </c>
      <c r="B17" s="137"/>
      <c r="C17" s="138"/>
      <c r="D17" s="78">
        <v>2027.63</v>
      </c>
      <c r="E17" s="78" t="s">
        <v>109</v>
      </c>
      <c r="F17" s="65">
        <v>90</v>
      </c>
      <c r="G17" s="66" t="s">
        <v>142</v>
      </c>
      <c r="H17" s="83" t="s">
        <v>97</v>
      </c>
      <c r="I17" s="136">
        <f t="shared" si="0"/>
        <v>182486.7</v>
      </c>
      <c r="J17" s="138"/>
      <c r="K17" s="2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48" t="s">
        <v>245</v>
      </c>
      <c r="B18" s="137"/>
      <c r="C18" s="138"/>
      <c r="D18" s="78">
        <v>6078.9</v>
      </c>
      <c r="E18" s="78" t="s">
        <v>19</v>
      </c>
      <c r="F18" s="65">
        <v>250</v>
      </c>
      <c r="G18" s="66" t="s">
        <v>142</v>
      </c>
      <c r="H18" s="83" t="s">
        <v>97</v>
      </c>
      <c r="I18" s="136">
        <f t="shared" si="0"/>
        <v>1519725</v>
      </c>
      <c r="J18" s="138"/>
      <c r="K18" s="2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48" t="s">
        <v>246</v>
      </c>
      <c r="B19" s="137"/>
      <c r="C19" s="138"/>
      <c r="D19" s="78">
        <f>67.29+77.84</f>
        <v>145.13</v>
      </c>
      <c r="E19" s="78" t="s">
        <v>19</v>
      </c>
      <c r="F19" s="65">
        <v>130</v>
      </c>
      <c r="G19" s="66" t="s">
        <v>142</v>
      </c>
      <c r="H19" s="83" t="s">
        <v>97</v>
      </c>
      <c r="I19" s="136">
        <f t="shared" si="0"/>
        <v>18866.899999999998</v>
      </c>
      <c r="J19" s="138"/>
      <c r="K19" s="2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48" t="s">
        <v>247</v>
      </c>
      <c r="B20" s="137"/>
      <c r="C20" s="138"/>
      <c r="D20" s="78">
        <v>16490.13</v>
      </c>
      <c r="E20" s="78" t="s">
        <v>19</v>
      </c>
      <c r="F20" s="65">
        <v>200</v>
      </c>
      <c r="G20" s="66" t="s">
        <v>142</v>
      </c>
      <c r="H20" s="83" t="s">
        <v>97</v>
      </c>
      <c r="I20" s="136">
        <f t="shared" si="0"/>
        <v>3298026</v>
      </c>
      <c r="J20" s="138"/>
      <c r="K20" s="2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48" t="s">
        <v>248</v>
      </c>
      <c r="B21" s="137"/>
      <c r="C21" s="138"/>
      <c r="D21" s="78">
        <v>1</v>
      </c>
      <c r="E21" s="78" t="s">
        <v>125</v>
      </c>
      <c r="F21" s="65">
        <v>30</v>
      </c>
      <c r="G21" s="66" t="s">
        <v>175</v>
      </c>
      <c r="H21" s="83" t="s">
        <v>97</v>
      </c>
      <c r="I21" s="136">
        <f>+F21*'Dados Gerais'!$E$15</f>
        <v>1575481.2</v>
      </c>
      <c r="J21" s="138"/>
      <c r="K21" s="27"/>
      <c r="L21" s="1" t="s">
        <v>249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48" t="s">
        <v>250</v>
      </c>
      <c r="B22" s="137"/>
      <c r="C22" s="138"/>
      <c r="D22" s="78">
        <v>97.34</v>
      </c>
      <c r="E22" s="78" t="s">
        <v>19</v>
      </c>
      <c r="F22" s="65">
        <v>150</v>
      </c>
      <c r="G22" s="66" t="s">
        <v>175</v>
      </c>
      <c r="H22" s="83" t="s">
        <v>97</v>
      </c>
      <c r="I22" s="136">
        <f>+D22*F22</f>
        <v>14601</v>
      </c>
      <c r="J22" s="138"/>
      <c r="K22" s="2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71" t="s">
        <v>251</v>
      </c>
      <c r="B23" s="137"/>
      <c r="C23" s="138"/>
      <c r="D23" s="85">
        <v>1</v>
      </c>
      <c r="E23" s="74" t="s">
        <v>125</v>
      </c>
      <c r="F23" s="75">
        <v>10.6</v>
      </c>
      <c r="G23" s="76" t="s">
        <v>175</v>
      </c>
      <c r="H23" s="90" t="s">
        <v>97</v>
      </c>
      <c r="I23" s="136">
        <f>+F23*'Dados Gerais'!E15</f>
        <v>556670.02399999998</v>
      </c>
      <c r="J23" s="138"/>
      <c r="K23" s="2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48" t="s">
        <v>252</v>
      </c>
      <c r="B24" s="137"/>
      <c r="C24" s="138"/>
      <c r="D24" s="78">
        <f>D22</f>
        <v>97.34</v>
      </c>
      <c r="E24" s="78" t="s">
        <v>19</v>
      </c>
      <c r="F24" s="65">
        <v>60</v>
      </c>
      <c r="G24" s="66" t="s">
        <v>142</v>
      </c>
      <c r="H24" s="83" t="s">
        <v>97</v>
      </c>
      <c r="I24" s="136">
        <f t="shared" ref="I24:I26" si="1">+F24*D24</f>
        <v>5840.4000000000005</v>
      </c>
      <c r="J24" s="138"/>
      <c r="K24" s="4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48" t="s">
        <v>253</v>
      </c>
      <c r="B25" s="137"/>
      <c r="C25" s="138"/>
      <c r="D25" s="78">
        <f t="shared" ref="D25:D26" si="2">D15</f>
        <v>7885.28</v>
      </c>
      <c r="E25" s="78" t="s">
        <v>19</v>
      </c>
      <c r="F25" s="65">
        <v>50</v>
      </c>
      <c r="G25" s="66" t="s">
        <v>142</v>
      </c>
      <c r="H25" s="83" t="s">
        <v>97</v>
      </c>
      <c r="I25" s="136">
        <f t="shared" si="1"/>
        <v>394264</v>
      </c>
      <c r="J25" s="138"/>
      <c r="K25" s="2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48" t="s">
        <v>254</v>
      </c>
      <c r="B26" s="137"/>
      <c r="C26" s="138"/>
      <c r="D26" s="78">
        <f t="shared" si="2"/>
        <v>256.02</v>
      </c>
      <c r="E26" s="78" t="s">
        <v>19</v>
      </c>
      <c r="F26" s="65">
        <v>50</v>
      </c>
      <c r="G26" s="66" t="s">
        <v>142</v>
      </c>
      <c r="H26" s="83" t="s">
        <v>97</v>
      </c>
      <c r="I26" s="136">
        <f t="shared" si="1"/>
        <v>12801</v>
      </c>
      <c r="J26" s="138"/>
      <c r="K26" s="2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33" t="s">
        <v>63</v>
      </c>
      <c r="B27" s="134"/>
      <c r="C27" s="134"/>
      <c r="D27" s="134"/>
      <c r="E27" s="134"/>
      <c r="F27" s="134"/>
      <c r="G27" s="134"/>
      <c r="H27" s="135"/>
      <c r="I27" s="139">
        <f>SUM(I15:J26)</f>
        <v>8418494.2239999995</v>
      </c>
      <c r="J27" s="135"/>
      <c r="K27" s="27"/>
      <c r="L27" s="1"/>
      <c r="M27" s="1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49"/>
      <c r="B28" s="134"/>
      <c r="C28" s="134"/>
      <c r="D28" s="134"/>
      <c r="E28" s="134"/>
      <c r="F28" s="134"/>
      <c r="G28" s="134"/>
      <c r="H28" s="134"/>
      <c r="I28" s="43"/>
      <c r="J28" s="33"/>
      <c r="K28" s="3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7"/>
      <c r="E29" s="35"/>
      <c r="F29" s="18"/>
      <c r="G29" s="1"/>
      <c r="H29" s="1"/>
      <c r="I29" s="1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7"/>
      <c r="E30" s="35"/>
      <c r="F30" s="18"/>
      <c r="G30" s="1"/>
      <c r="H30" s="1"/>
      <c r="I30" s="103"/>
      <c r="J30" s="17">
        <f>I27</f>
        <v>8418494.2239999995</v>
      </c>
      <c r="K30" s="80">
        <f>J30/'Dados Gerais'!E15</f>
        <v>160.30329446013064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 t="s">
        <v>255</v>
      </c>
      <c r="B31" s="1"/>
      <c r="C31" s="1"/>
      <c r="D31" s="17"/>
      <c r="E31" s="35"/>
      <c r="F31" s="18"/>
      <c r="G31" s="1"/>
      <c r="H31" s="1"/>
      <c r="I31" s="1" t="s">
        <v>256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7" t="s">
        <v>257</v>
      </c>
      <c r="B32" s="1"/>
      <c r="C32" s="1"/>
      <c r="D32" s="104">
        <f>72.39+24.95</f>
        <v>97.34</v>
      </c>
      <c r="E32" s="35"/>
      <c r="F32" s="18" t="s">
        <v>258</v>
      </c>
      <c r="G32" s="1"/>
      <c r="H32" s="1"/>
      <c r="I32" s="1" t="s">
        <v>259</v>
      </c>
      <c r="J32" s="105">
        <f>1809.88+310.22+317.42+1025.59+317.42+302.08+301.14+301.14+301.14+274.59+274.59+274.59+224.28+364.51+364.51+528.07+122.19+122.19+26.59+5.72</f>
        <v>7567.8600000000015</v>
      </c>
      <c r="K32" s="1" t="s">
        <v>260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7" t="s">
        <v>261</v>
      </c>
      <c r="B33" s="1"/>
      <c r="C33" s="1"/>
      <c r="D33" s="35">
        <f>0.59+67.64+33.81+169.41+159.92</f>
        <v>431.37</v>
      </c>
      <c r="E33" s="35"/>
      <c r="F33" s="18" t="s">
        <v>262</v>
      </c>
      <c r="G33" s="1"/>
      <c r="H33" s="1"/>
      <c r="I33" s="1" t="s">
        <v>263</v>
      </c>
      <c r="J33" s="1">
        <f>5.44+5.44+5.44+5.44+5.44+5.44+5.44+5.44+5.44+5.44+13.25+5.44+5.44+5.44+5.44+5.44+5.44+5.44+5.44+5.44+5.44+5.44+5.44+5.44+5.44+6.21+5.44+5.44+5.44+5.44+5.44+5.44+5.44+5.45</f>
        <v>193.54999999999995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7" t="s">
        <v>264</v>
      </c>
      <c r="B34" s="1"/>
      <c r="C34" s="1"/>
      <c r="D34" s="35">
        <f>1278.13+780.39+629.5+649.5+649.5+649.5+649.5+649.5+657.05+709.62+8270.73+4840.87+699.04+630.24+564.31+585.04+567.54+531.07+523.88+541.63+411.61+507.34+545.23+395.23+397.06+395.62+271.76+319.2+188.86+235.77+795.14+707.13+321.02+361.38+387.19+32.21+15.08+133.44+19.47+15.57</f>
        <v>31511.850000000009</v>
      </c>
      <c r="E34" s="35"/>
      <c r="F34" s="18"/>
      <c r="G34" s="1"/>
      <c r="H34" s="1"/>
      <c r="I34" s="1" t="s">
        <v>265</v>
      </c>
      <c r="J34" s="1">
        <f>94.4+35.21+35.21+35.21+35.21+35.21+35.21+104.82+63.8+63.8+63.8+63.8+63.8+63.8+54.91+54.91+54.91+25.26+25.26+25.26+25.26</f>
        <v>1059.0499999999997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 t="s">
        <v>266</v>
      </c>
      <c r="B35" s="1"/>
      <c r="C35" s="1"/>
      <c r="D35" s="17">
        <f>4.23+326.22+318.56+10.49+318.56+251.12+252.68+253.01+253.01+211.49+211.18+211.49+175.91+116.38+3.96+116.05+116.38+104.01+104.01+239.17</f>
        <v>3597.9100000000008</v>
      </c>
      <c r="E35" s="35"/>
      <c r="F35" s="18"/>
      <c r="G35" s="1"/>
      <c r="H35" s="1"/>
      <c r="I35" s="1" t="s">
        <v>267</v>
      </c>
      <c r="J35" s="105">
        <v>256.02</v>
      </c>
      <c r="K35" s="1" t="s">
        <v>268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 t="s">
        <v>269</v>
      </c>
      <c r="B36" s="1"/>
      <c r="C36" s="1"/>
      <c r="D36" s="17">
        <v>361.73</v>
      </c>
      <c r="E36" s="35" t="s">
        <v>270</v>
      </c>
      <c r="F36" s="18"/>
      <c r="G36" s="1"/>
      <c r="H36" s="1"/>
      <c r="I36" s="1" t="s">
        <v>271</v>
      </c>
      <c r="J36" s="105">
        <v>2152.7199999999998</v>
      </c>
      <c r="K36" s="1" t="s">
        <v>272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7"/>
      <c r="E37" s="35"/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 t="s">
        <v>273</v>
      </c>
      <c r="B38" s="1"/>
      <c r="C38" s="1"/>
      <c r="D38" s="17">
        <v>15.55</v>
      </c>
      <c r="E38" s="35"/>
      <c r="F38" s="18"/>
      <c r="G38" s="1"/>
      <c r="H38" s="1"/>
      <c r="I38" s="1" t="s">
        <v>274</v>
      </c>
      <c r="J38" s="1">
        <v>4.8499999999999996</v>
      </c>
      <c r="K38" s="1" t="s">
        <v>270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7"/>
      <c r="E39" s="35"/>
      <c r="F39" s="1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7"/>
      <c r="E40" s="35"/>
      <c r="F40" s="18"/>
      <c r="G40" s="1"/>
      <c r="H40" s="1"/>
      <c r="I40" s="1" t="s">
        <v>275</v>
      </c>
      <c r="J40" s="1">
        <v>76.11</v>
      </c>
      <c r="K40" s="1" t="s">
        <v>276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7"/>
      <c r="E41" s="35"/>
      <c r="F41" s="18"/>
      <c r="G41" s="1"/>
      <c r="H41" s="1"/>
      <c r="I41" s="1" t="s">
        <v>277</v>
      </c>
      <c r="J41" s="1">
        <f>5.66+12.03+12.03+12.03+12.03+12.03+12.03</f>
        <v>77.84</v>
      </c>
      <c r="K41" s="1" t="s">
        <v>278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7"/>
      <c r="E42" s="35"/>
      <c r="F42" s="1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7"/>
      <c r="E43" s="35"/>
      <c r="F43" s="18"/>
      <c r="G43" s="1"/>
      <c r="H43" s="1"/>
      <c r="I43" s="1" t="s">
        <v>279</v>
      </c>
      <c r="J43" s="1">
        <f>459.55+217.12+68.42</f>
        <v>745.09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7"/>
      <c r="E44" s="35"/>
      <c r="F44" s="18"/>
      <c r="G44" s="1"/>
      <c r="H44" s="1"/>
      <c r="I44" s="1" t="s">
        <v>280</v>
      </c>
      <c r="J44" s="105">
        <v>67.290000000000006</v>
      </c>
      <c r="K44" s="1" t="s">
        <v>270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7"/>
      <c r="E45" s="35"/>
      <c r="F45" s="18"/>
      <c r="G45" s="1"/>
      <c r="H45" s="1"/>
      <c r="I45" s="1" t="s">
        <v>281</v>
      </c>
      <c r="J45" s="105">
        <v>6078.9</v>
      </c>
      <c r="K45" s="1" t="s">
        <v>270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7"/>
      <c r="E46" s="35"/>
      <c r="F46" s="18"/>
      <c r="G46" s="1"/>
      <c r="H46" s="1"/>
      <c r="I46" s="1" t="s">
        <v>282</v>
      </c>
      <c r="J46" s="105">
        <f>1810.87+147.93+68.83</f>
        <v>2027.6299999999999</v>
      </c>
      <c r="K46" s="1" t="s">
        <v>270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7"/>
      <c r="E47" s="35"/>
      <c r="F47" s="1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7"/>
      <c r="E48" s="35"/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7"/>
      <c r="E49" s="35"/>
      <c r="F49" s="1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7"/>
      <c r="E50" s="35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7"/>
      <c r="E51" s="35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7"/>
      <c r="E52" s="35"/>
      <c r="F52" s="1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7"/>
      <c r="E53" s="35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7"/>
      <c r="E54" s="35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7">
    <mergeCell ref="A2:K4"/>
    <mergeCell ref="B7:K7"/>
    <mergeCell ref="B8:K8"/>
    <mergeCell ref="B9:K9"/>
    <mergeCell ref="B10:D10"/>
    <mergeCell ref="J10:K10"/>
    <mergeCell ref="A14:C14"/>
    <mergeCell ref="I14:J14"/>
    <mergeCell ref="D14:E14"/>
    <mergeCell ref="F14:G14"/>
    <mergeCell ref="A15:C15"/>
    <mergeCell ref="I15:J15"/>
    <mergeCell ref="A16:C16"/>
    <mergeCell ref="I16:J16"/>
    <mergeCell ref="I17:J17"/>
    <mergeCell ref="A24:C24"/>
    <mergeCell ref="A25:C25"/>
    <mergeCell ref="I25:J25"/>
    <mergeCell ref="A26:C26"/>
    <mergeCell ref="A27:H27"/>
    <mergeCell ref="A28:H28"/>
    <mergeCell ref="A17:C17"/>
    <mergeCell ref="A18:C18"/>
    <mergeCell ref="A19:C19"/>
    <mergeCell ref="A20:C20"/>
    <mergeCell ref="A21:C21"/>
    <mergeCell ref="A22:C22"/>
    <mergeCell ref="A23:C23"/>
    <mergeCell ref="I26:J26"/>
    <mergeCell ref="I27:J27"/>
    <mergeCell ref="I18:J18"/>
    <mergeCell ref="I19:J19"/>
    <mergeCell ref="I20:J20"/>
    <mergeCell ref="I21:J21"/>
    <mergeCell ref="I22:J22"/>
    <mergeCell ref="I23:J23"/>
    <mergeCell ref="I24:J24"/>
  </mergeCells>
  <pageMargins left="0.55118110236220474" right="0.27559055118110237" top="0.59055118110236227" bottom="0.59055118110236227" header="0" footer="0"/>
  <pageSetup paperSize="9" scale="95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3C66"/>
  </sheetPr>
  <dimension ref="A1:Z1000"/>
  <sheetViews>
    <sheetView showGridLines="0" workbookViewId="0"/>
  </sheetViews>
  <sheetFormatPr defaultColWidth="14.44140625" defaultRowHeight="15" customHeight="1"/>
  <cols>
    <col min="1" max="1" width="17.44140625" customWidth="1"/>
    <col min="2" max="2" width="9.88671875" customWidth="1"/>
    <col min="3" max="3" width="8.88671875" customWidth="1"/>
    <col min="4" max="4" width="14" customWidth="1"/>
    <col min="5" max="5" width="7.5546875" customWidth="1"/>
    <col min="6" max="6" width="10.6640625" customWidth="1"/>
    <col min="7" max="7" width="15.88671875" customWidth="1"/>
    <col min="8" max="8" width="12.88671875" customWidth="1"/>
    <col min="9" max="9" width="11.109375" customWidth="1"/>
    <col min="10" max="10" width="13.109375" customWidth="1"/>
    <col min="11" max="11" width="6.44140625" customWidth="1"/>
    <col min="12" max="12" width="11.33203125" customWidth="1"/>
    <col min="13" max="14" width="9.109375" customWidth="1"/>
    <col min="15" max="15" width="11" customWidth="1"/>
    <col min="16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283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21" t="s">
        <v>74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 t="s">
        <v>20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73" t="s">
        <v>14</v>
      </c>
      <c r="B14" s="166"/>
      <c r="C14" s="186"/>
      <c r="D14" s="176" t="s">
        <v>86</v>
      </c>
      <c r="E14" s="174"/>
      <c r="F14" s="177" t="s">
        <v>87</v>
      </c>
      <c r="G14" s="174"/>
      <c r="H14" s="81" t="s">
        <v>88</v>
      </c>
      <c r="I14" s="177" t="s">
        <v>62</v>
      </c>
      <c r="J14" s="187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71" t="s">
        <v>284</v>
      </c>
      <c r="B15" s="137"/>
      <c r="C15" s="138"/>
      <c r="D15" s="85">
        <f>431.37+361.73+5.44</f>
        <v>798.54000000000008</v>
      </c>
      <c r="E15" s="74" t="s">
        <v>141</v>
      </c>
      <c r="F15" s="75">
        <v>70</v>
      </c>
      <c r="G15" s="76" t="s">
        <v>142</v>
      </c>
      <c r="H15" s="90" t="s">
        <v>97</v>
      </c>
      <c r="I15" s="136">
        <f t="shared" ref="I15:I17" si="0">+D15*F15</f>
        <v>55897.8</v>
      </c>
      <c r="J15" s="185"/>
      <c r="K15" s="27"/>
      <c r="L15" s="1"/>
      <c r="M15" s="1"/>
      <c r="N15" s="18"/>
      <c r="O15" s="1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71" t="s">
        <v>285</v>
      </c>
      <c r="B16" s="137"/>
      <c r="C16" s="138"/>
      <c r="D16" s="85">
        <f>1059.05+193.55+63.8+2095.88+2179.39+2185.92+2139+1918.28+1909.27+1909.67+1803.72</f>
        <v>17457.530000000002</v>
      </c>
      <c r="E16" s="74" t="s">
        <v>141</v>
      </c>
      <c r="F16" s="75">
        <v>70</v>
      </c>
      <c r="G16" s="76" t="s">
        <v>142</v>
      </c>
      <c r="H16" s="90" t="s">
        <v>97</v>
      </c>
      <c r="I16" s="136">
        <f t="shared" si="0"/>
        <v>1222027.1000000001</v>
      </c>
      <c r="J16" s="185"/>
      <c r="K16" s="27"/>
      <c r="L16" s="1"/>
      <c r="M16" s="1"/>
      <c r="N16" s="18"/>
      <c r="O16" s="1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71" t="s">
        <v>286</v>
      </c>
      <c r="B17" s="137"/>
      <c r="C17" s="138"/>
      <c r="D17" s="85">
        <f>31511.85+657.02+630.24</f>
        <v>32799.11</v>
      </c>
      <c r="E17" s="74" t="s">
        <v>141</v>
      </c>
      <c r="F17" s="75">
        <v>80</v>
      </c>
      <c r="G17" s="76" t="s">
        <v>142</v>
      </c>
      <c r="H17" s="90" t="s">
        <v>97</v>
      </c>
      <c r="I17" s="136">
        <f t="shared" si="0"/>
        <v>2623928.7999999998</v>
      </c>
      <c r="J17" s="185"/>
      <c r="K17" s="2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88" t="s">
        <v>63</v>
      </c>
      <c r="B18" s="189"/>
      <c r="C18" s="189"/>
      <c r="D18" s="189"/>
      <c r="E18" s="189"/>
      <c r="F18" s="189"/>
      <c r="G18" s="189"/>
      <c r="H18" s="190"/>
      <c r="I18" s="191">
        <f>SUM(I15:J17)</f>
        <v>3901853.7</v>
      </c>
      <c r="J18" s="192"/>
      <c r="K18" s="3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80"/>
      <c r="B19" s="168"/>
      <c r="C19" s="168"/>
      <c r="D19" s="168"/>
      <c r="E19" s="168"/>
      <c r="F19" s="168"/>
      <c r="G19" s="168"/>
      <c r="H19" s="168"/>
      <c r="I19" s="43"/>
      <c r="J19" s="33"/>
      <c r="K19" s="3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"/>
      <c r="C20" s="1"/>
      <c r="D20" s="17"/>
      <c r="E20" s="35"/>
      <c r="F20" s="1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/>
      <c r="C21" s="1"/>
      <c r="D21" s="17"/>
      <c r="E21" s="35"/>
      <c r="F21" s="18"/>
      <c r="G21" s="1"/>
      <c r="H21" s="1"/>
      <c r="I21" s="1"/>
      <c r="J21" s="17">
        <f>I18</f>
        <v>3901853.7</v>
      </c>
      <c r="K21" s="1">
        <f>J21/'Dados Gerais'!E15</f>
        <v>74.298322950473803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17"/>
      <c r="E22" s="35"/>
      <c r="F22" s="1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7"/>
      <c r="B23" s="1"/>
      <c r="C23" s="1"/>
      <c r="D23" s="35"/>
      <c r="E23" s="35"/>
      <c r="F23" s="1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7"/>
      <c r="B24" s="1"/>
      <c r="C24" s="1"/>
      <c r="D24" s="35"/>
      <c r="E24" s="35"/>
      <c r="F24" s="1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35"/>
      <c r="E25" s="35"/>
      <c r="F25" s="1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7"/>
      <c r="E26" s="35"/>
      <c r="F26" s="1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7"/>
      <c r="E27" s="35"/>
      <c r="F27" s="1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7"/>
      <c r="E28" s="35"/>
      <c r="F28" s="1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7"/>
      <c r="E29" s="35"/>
      <c r="F29" s="1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7"/>
      <c r="E30" s="35"/>
      <c r="F30" s="1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7"/>
      <c r="E31" s="35"/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7"/>
      <c r="E32" s="35"/>
      <c r="F32" s="1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7"/>
      <c r="E33" s="35"/>
      <c r="F33" s="1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7"/>
      <c r="E34" s="35"/>
      <c r="F34" s="1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7"/>
      <c r="E35" s="35"/>
      <c r="F35" s="1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7"/>
      <c r="E36" s="35"/>
      <c r="F36" s="1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7"/>
      <c r="E37" s="35"/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7"/>
      <c r="E38" s="35"/>
      <c r="F38" s="1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7"/>
      <c r="E39" s="35"/>
      <c r="F39" s="1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7"/>
      <c r="E40" s="35"/>
      <c r="F40" s="1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7"/>
      <c r="E41" s="35"/>
      <c r="F41" s="1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7"/>
      <c r="E42" s="35"/>
      <c r="F42" s="1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7"/>
      <c r="E43" s="35"/>
      <c r="F43" s="1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7"/>
      <c r="E44" s="35"/>
      <c r="F44" s="1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7"/>
      <c r="E45" s="35"/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7"/>
      <c r="E46" s="35"/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7"/>
      <c r="E47" s="35"/>
      <c r="F47" s="1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7"/>
      <c r="E48" s="35"/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7"/>
      <c r="E49" s="35"/>
      <c r="F49" s="1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7"/>
      <c r="E50" s="35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7"/>
      <c r="E51" s="35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7"/>
      <c r="E52" s="35"/>
      <c r="F52" s="1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7"/>
      <c r="E53" s="35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7"/>
      <c r="E54" s="35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A2:K4"/>
    <mergeCell ref="B7:K7"/>
    <mergeCell ref="B8:K8"/>
    <mergeCell ref="B9:K9"/>
    <mergeCell ref="B10:D10"/>
    <mergeCell ref="J10:K10"/>
    <mergeCell ref="A19:H19"/>
    <mergeCell ref="D14:E14"/>
    <mergeCell ref="F14:G14"/>
    <mergeCell ref="A15:C15"/>
    <mergeCell ref="I15:J15"/>
    <mergeCell ref="A16:C16"/>
    <mergeCell ref="I16:J16"/>
    <mergeCell ref="I17:J17"/>
    <mergeCell ref="A14:C14"/>
    <mergeCell ref="I14:J14"/>
    <mergeCell ref="A17:C17"/>
    <mergeCell ref="A18:H18"/>
    <mergeCell ref="I18:J18"/>
  </mergeCells>
  <pageMargins left="0.55118110236220474" right="0.27559055118110237" top="0.59055118110236227" bottom="0.59055118110236227" header="0" footer="0"/>
  <pageSetup paperSize="9" scale="95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3C66"/>
  </sheetPr>
  <dimension ref="A1:Z1000"/>
  <sheetViews>
    <sheetView showGridLines="0" workbookViewId="0"/>
  </sheetViews>
  <sheetFormatPr defaultColWidth="14.44140625" defaultRowHeight="15" customHeight="1"/>
  <cols>
    <col min="1" max="1" width="17.44140625" customWidth="1"/>
    <col min="2" max="2" width="9.88671875" customWidth="1"/>
    <col min="3" max="3" width="8.88671875" customWidth="1"/>
    <col min="4" max="4" width="14" customWidth="1"/>
    <col min="5" max="5" width="7.5546875" customWidth="1"/>
    <col min="6" max="6" width="16.109375" customWidth="1"/>
    <col min="7" max="7" width="15.88671875" customWidth="1"/>
    <col min="8" max="8" width="12.88671875" customWidth="1"/>
    <col min="9" max="9" width="11.109375" customWidth="1"/>
    <col min="10" max="10" width="14.44140625" customWidth="1"/>
    <col min="11" max="11" width="6.44140625" customWidth="1"/>
    <col min="12" max="12" width="11.33203125" customWidth="1"/>
    <col min="13" max="13" width="13.5546875" customWidth="1"/>
    <col min="14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287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1" t="s">
        <v>75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 t="s">
        <v>20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50" t="s">
        <v>288</v>
      </c>
      <c r="B15" s="151"/>
      <c r="C15" s="152"/>
      <c r="D15" s="77">
        <v>367.76</v>
      </c>
      <c r="E15" s="77" t="s">
        <v>19</v>
      </c>
      <c r="F15" s="106">
        <v>1800</v>
      </c>
      <c r="G15" s="98" t="s">
        <v>142</v>
      </c>
      <c r="H15" s="99" t="s">
        <v>97</v>
      </c>
      <c r="I15" s="153">
        <f>+F15*D15</f>
        <v>661968</v>
      </c>
      <c r="J15" s="152"/>
      <c r="K15" s="2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48" t="s">
        <v>289</v>
      </c>
      <c r="B16" s="137"/>
      <c r="C16" s="138"/>
      <c r="D16" s="78">
        <v>1925.31</v>
      </c>
      <c r="E16" s="78" t="s">
        <v>19</v>
      </c>
      <c r="F16" s="107">
        <v>1279.7</v>
      </c>
      <c r="G16" s="101" t="s">
        <v>142</v>
      </c>
      <c r="H16" s="92" t="s">
        <v>97</v>
      </c>
      <c r="I16" s="136">
        <f t="shared" ref="I16:I19" si="0">+D16*F16</f>
        <v>2463819.2069999999</v>
      </c>
      <c r="J16" s="138"/>
      <c r="K16" s="2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48" t="s">
        <v>290</v>
      </c>
      <c r="B17" s="137"/>
      <c r="C17" s="138"/>
      <c r="D17" s="78">
        <v>1</v>
      </c>
      <c r="E17" s="78" t="s">
        <v>125</v>
      </c>
      <c r="F17" s="100">
        <v>800000</v>
      </c>
      <c r="G17" s="101" t="s">
        <v>126</v>
      </c>
      <c r="H17" s="92" t="s">
        <v>97</v>
      </c>
      <c r="I17" s="136">
        <f t="shared" si="0"/>
        <v>800000</v>
      </c>
      <c r="J17" s="138"/>
      <c r="K17" s="27"/>
      <c r="L17" s="1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48" t="s">
        <v>291</v>
      </c>
      <c r="B18" s="137"/>
      <c r="C18" s="138"/>
      <c r="D18" s="78">
        <v>156</v>
      </c>
      <c r="E18" s="78" t="s">
        <v>28</v>
      </c>
      <c r="F18" s="107">
        <v>1750</v>
      </c>
      <c r="G18" s="101" t="s">
        <v>203</v>
      </c>
      <c r="H18" s="92" t="s">
        <v>97</v>
      </c>
      <c r="I18" s="136">
        <f t="shared" si="0"/>
        <v>273000</v>
      </c>
      <c r="J18" s="138"/>
      <c r="K18" s="27"/>
      <c r="L18" s="108">
        <f>4+4+4+4+4+4+4+4+4+4+4+4+3+4+4+4+4+4+4+4+4+4+5+4+2+4+2+4+4+4+4+4+4+4+4+4+4+4+5+2+1</f>
        <v>156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48" t="s">
        <v>292</v>
      </c>
      <c r="B19" s="137"/>
      <c r="C19" s="138"/>
      <c r="D19" s="78">
        <v>1789.76</v>
      </c>
      <c r="E19" s="78" t="s">
        <v>23</v>
      </c>
      <c r="F19" s="107">
        <v>80</v>
      </c>
      <c r="G19" s="101" t="s">
        <v>293</v>
      </c>
      <c r="H19" s="92" t="s">
        <v>97</v>
      </c>
      <c r="I19" s="136">
        <f t="shared" si="0"/>
        <v>143180.79999999999</v>
      </c>
      <c r="J19" s="138"/>
      <c r="K19" s="2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48" t="s">
        <v>294</v>
      </c>
      <c r="B20" s="137"/>
      <c r="C20" s="138"/>
      <c r="D20" s="78">
        <v>641</v>
      </c>
      <c r="E20" s="78" t="s">
        <v>28</v>
      </c>
      <c r="F20" s="107">
        <v>3000</v>
      </c>
      <c r="G20" s="101" t="s">
        <v>151</v>
      </c>
      <c r="H20" s="92" t="s">
        <v>97</v>
      </c>
      <c r="I20" s="136">
        <f t="shared" ref="I20:I21" si="1">+F20*D20</f>
        <v>1923000</v>
      </c>
      <c r="J20" s="138"/>
      <c r="K20" s="27"/>
      <c r="L20" s="108">
        <f>17+21+21+21+21+20+21+21+63+35+2+8+35+35+35+35+35+32+32+32+24+18+1+18+18+7+6+3+4</f>
        <v>641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48" t="s">
        <v>295</v>
      </c>
      <c r="B21" s="137"/>
      <c r="C21" s="138"/>
      <c r="D21" s="78">
        <v>3</v>
      </c>
      <c r="E21" s="78" t="s">
        <v>28</v>
      </c>
      <c r="F21" s="107">
        <v>50000</v>
      </c>
      <c r="G21" s="101" t="s">
        <v>203</v>
      </c>
      <c r="H21" s="92" t="s">
        <v>97</v>
      </c>
      <c r="I21" s="136">
        <f t="shared" si="1"/>
        <v>150000</v>
      </c>
      <c r="J21" s="138"/>
      <c r="K21" s="2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48" t="s">
        <v>296</v>
      </c>
      <c r="B22" s="137"/>
      <c r="C22" s="138"/>
      <c r="D22" s="78">
        <v>5061.72</v>
      </c>
      <c r="E22" s="78" t="s">
        <v>19</v>
      </c>
      <c r="F22" s="107">
        <v>1200</v>
      </c>
      <c r="G22" s="101" t="s">
        <v>142</v>
      </c>
      <c r="H22" s="92" t="s">
        <v>97</v>
      </c>
      <c r="I22" s="136">
        <f>+D22*F22</f>
        <v>6074064</v>
      </c>
      <c r="J22" s="138"/>
      <c r="K22" s="2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33" t="s">
        <v>63</v>
      </c>
      <c r="B23" s="134"/>
      <c r="C23" s="134"/>
      <c r="D23" s="134"/>
      <c r="E23" s="134"/>
      <c r="F23" s="134"/>
      <c r="G23" s="134"/>
      <c r="H23" s="135"/>
      <c r="I23" s="139">
        <f>SUM(I15:J22)</f>
        <v>12489032.006999999</v>
      </c>
      <c r="J23" s="135"/>
      <c r="K23" s="31"/>
      <c r="L23" s="1"/>
      <c r="M23" s="1" t="s">
        <v>273</v>
      </c>
      <c r="N23" s="1"/>
      <c r="O23" s="1"/>
      <c r="P23" s="1"/>
      <c r="Q23" s="1" t="s">
        <v>266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49"/>
      <c r="B24" s="134"/>
      <c r="C24" s="134"/>
      <c r="D24" s="134"/>
      <c r="E24" s="134"/>
      <c r="F24" s="134"/>
      <c r="G24" s="134"/>
      <c r="H24" s="134"/>
      <c r="I24" s="43"/>
      <c r="J24" s="33"/>
      <c r="K24" s="34"/>
      <c r="L24" s="1"/>
      <c r="M24" s="1">
        <f>0.6*2.1</f>
        <v>1.26</v>
      </c>
      <c r="N24" s="1">
        <v>6</v>
      </c>
      <c r="O24" s="80">
        <f t="shared" ref="O24:O39" si="2">M24*N24</f>
        <v>7.5600000000000005</v>
      </c>
      <c r="P24" s="1"/>
      <c r="Q24" s="1">
        <f>1.6*2.1</f>
        <v>3.3600000000000003</v>
      </c>
      <c r="R24" s="1">
        <v>5</v>
      </c>
      <c r="S24" s="1">
        <f t="shared" ref="S24:S30" si="3">Q24*R24</f>
        <v>16.8</v>
      </c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7"/>
      <c r="E25" s="35"/>
      <c r="F25" s="18"/>
      <c r="G25" s="1"/>
      <c r="H25" s="1"/>
      <c r="I25" s="1"/>
      <c r="J25" s="1"/>
      <c r="K25" s="1"/>
      <c r="L25" s="1"/>
      <c r="M25" s="1">
        <f>0.8*2.1</f>
        <v>1.6800000000000002</v>
      </c>
      <c r="N25" s="1">
        <f>6+1+1+1+1+1+1+1+1+6+1+2</f>
        <v>23</v>
      </c>
      <c r="O25" s="80">
        <f t="shared" si="2"/>
        <v>38.64</v>
      </c>
      <c r="P25" s="1"/>
      <c r="Q25" s="1">
        <f>1.1*2.1</f>
        <v>2.3100000000000005</v>
      </c>
      <c r="R25" s="1">
        <f>5+1+1+1</f>
        <v>8</v>
      </c>
      <c r="S25" s="1">
        <f t="shared" si="3"/>
        <v>18.480000000000004</v>
      </c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7"/>
      <c r="E26" s="35"/>
      <c r="F26" s="18"/>
      <c r="G26" s="1"/>
      <c r="H26" s="1"/>
      <c r="I26" s="1"/>
      <c r="J26" s="17">
        <f>I23</f>
        <v>12489032.006999999</v>
      </c>
      <c r="K26" s="1">
        <f>J26/'Dados Gerais'!E15</f>
        <v>237.81366620560118</v>
      </c>
      <c r="L26" s="1"/>
      <c r="M26" s="17">
        <f>0.9381*3.97</f>
        <v>3.7242570000000002</v>
      </c>
      <c r="N26" s="1">
        <v>8</v>
      </c>
      <c r="O26" s="80">
        <f t="shared" si="2"/>
        <v>29.794056000000001</v>
      </c>
      <c r="P26" s="1"/>
      <c r="Q26" s="1">
        <f>1.3*2.1</f>
        <v>2.7300000000000004</v>
      </c>
      <c r="R26" s="1">
        <f>30+30+30+30+30+30+26+26+26+17+13+13+5</f>
        <v>306</v>
      </c>
      <c r="S26" s="1">
        <f t="shared" si="3"/>
        <v>835.38000000000011</v>
      </c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7"/>
      <c r="E27" s="35"/>
      <c r="F27" s="18"/>
      <c r="G27" s="1"/>
      <c r="H27" s="1"/>
      <c r="I27" s="1"/>
      <c r="J27" s="1"/>
      <c r="K27" s="1"/>
      <c r="L27" s="1"/>
      <c r="M27" s="17">
        <f>1.1*0.6</f>
        <v>0.66</v>
      </c>
      <c r="N27" s="1">
        <f>10+10+10+10+10+10+10+10+10+10+10+10+10+10+9+9+9+7+5+5+5+4+2+2</f>
        <v>197</v>
      </c>
      <c r="O27" s="80">
        <f t="shared" si="2"/>
        <v>130.02000000000001</v>
      </c>
      <c r="P27" s="1"/>
      <c r="Q27" s="1">
        <f>1.6*2.4</f>
        <v>3.84</v>
      </c>
      <c r="R27" s="1">
        <v>1</v>
      </c>
      <c r="S27" s="1">
        <f t="shared" si="3"/>
        <v>3.84</v>
      </c>
      <c r="T27" s="1"/>
      <c r="U27" s="1"/>
      <c r="V27" s="1"/>
      <c r="W27" s="1"/>
      <c r="X27" s="1"/>
      <c r="Y27" s="1"/>
      <c r="Z27" s="1"/>
    </row>
    <row r="28" spans="1:26" ht="12.75" customHeight="1">
      <c r="A28" s="1" t="s">
        <v>255</v>
      </c>
      <c r="B28" s="1"/>
      <c r="C28" s="1"/>
      <c r="D28" s="35"/>
      <c r="E28" s="35"/>
      <c r="F28" s="18"/>
      <c r="G28" s="1"/>
      <c r="H28" s="1"/>
      <c r="I28" s="1" t="s">
        <v>256</v>
      </c>
      <c r="J28" s="1"/>
      <c r="K28" s="1"/>
      <c r="L28" s="1"/>
      <c r="M28" s="17">
        <f>0.825*0.425</f>
        <v>0.35062499999999996</v>
      </c>
      <c r="N28" s="1">
        <f>1+1+1+1+1+1+1+1+1+1+1+1+1+1+1+1+1+1+1+1+1+1+1+1+1+1+1+1+1+1+1+1+1+1</f>
        <v>34</v>
      </c>
      <c r="O28" s="80">
        <f t="shared" si="2"/>
        <v>11.921249999999999</v>
      </c>
      <c r="P28" s="1"/>
      <c r="Q28" s="1">
        <f>0.9*2.1</f>
        <v>1.8900000000000001</v>
      </c>
      <c r="R28" s="1">
        <v>1</v>
      </c>
      <c r="S28" s="1">
        <f t="shared" si="3"/>
        <v>1.8900000000000001</v>
      </c>
      <c r="T28" s="1"/>
      <c r="U28" s="1"/>
      <c r="V28" s="1"/>
      <c r="W28" s="1"/>
      <c r="X28" s="1"/>
      <c r="Y28" s="1"/>
      <c r="Z28" s="1"/>
    </row>
    <row r="29" spans="1:26" ht="12.75" customHeight="1">
      <c r="A29" s="1" t="s">
        <v>266</v>
      </c>
      <c r="B29" s="1"/>
      <c r="C29" s="1"/>
      <c r="D29" s="17">
        <f>4.23+326.22+318.56+10.49+318.56+251.12+252.68+253.01+253.01+211.49+211.18+211.49+175.91+116.38+3.96+116.05+116.38+104.01+104.01+239.17</f>
        <v>3597.9100000000008</v>
      </c>
      <c r="E29" s="35"/>
      <c r="F29" s="18"/>
      <c r="G29" s="1"/>
      <c r="H29" s="1"/>
      <c r="I29" s="1" t="s">
        <v>274</v>
      </c>
      <c r="J29" s="1">
        <v>4.8499999999999996</v>
      </c>
      <c r="K29" s="1" t="s">
        <v>270</v>
      </c>
      <c r="L29" s="1"/>
      <c r="M29" s="1">
        <f>3.14*2.5</f>
        <v>7.8500000000000005</v>
      </c>
      <c r="N29" s="1">
        <v>1</v>
      </c>
      <c r="O29" s="80">
        <f t="shared" si="2"/>
        <v>7.8500000000000005</v>
      </c>
      <c r="P29" s="1"/>
      <c r="Q29" s="1">
        <f>0.9*2.4</f>
        <v>2.16</v>
      </c>
      <c r="R29" s="1">
        <v>1</v>
      </c>
      <c r="S29" s="1">
        <f t="shared" si="3"/>
        <v>2.16</v>
      </c>
      <c r="T29" s="1"/>
      <c r="U29" s="1"/>
      <c r="V29" s="1"/>
      <c r="W29" s="1"/>
      <c r="X29" s="1"/>
      <c r="Y29" s="1"/>
      <c r="Z29" s="1"/>
    </row>
    <row r="30" spans="1:26" ht="12.75" customHeight="1">
      <c r="A30" s="1" t="s">
        <v>273</v>
      </c>
      <c r="B30" s="1"/>
      <c r="C30" s="1"/>
      <c r="D30" s="17">
        <v>15.55</v>
      </c>
      <c r="E30" s="35"/>
      <c r="F30" s="18"/>
      <c r="G30" s="1"/>
      <c r="H30" s="1"/>
      <c r="I30" s="1"/>
      <c r="J30" s="1"/>
      <c r="K30" s="1"/>
      <c r="L30" s="1"/>
      <c r="M30" s="17">
        <f>0.9*0.9</f>
        <v>0.81</v>
      </c>
      <c r="N30" s="1">
        <f>4+2</f>
        <v>6</v>
      </c>
      <c r="O30" s="80">
        <f t="shared" si="2"/>
        <v>4.8600000000000003</v>
      </c>
      <c r="P30" s="1"/>
      <c r="Q30" s="1">
        <f>1.1*2.4</f>
        <v>2.64</v>
      </c>
      <c r="R30" s="1">
        <f>1+1+1</f>
        <v>3</v>
      </c>
      <c r="S30" s="1">
        <f t="shared" si="3"/>
        <v>7.92</v>
      </c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7"/>
      <c r="E31" s="35"/>
      <c r="F31" s="18"/>
      <c r="G31" s="1"/>
      <c r="H31" s="1"/>
      <c r="I31" s="1"/>
      <c r="J31" s="1"/>
      <c r="K31" s="1"/>
      <c r="L31" s="1"/>
      <c r="M31" s="17">
        <f>2.7*1.5</f>
        <v>4.0500000000000007</v>
      </c>
      <c r="N31" s="1">
        <v>1</v>
      </c>
      <c r="O31" s="80">
        <f t="shared" si="2"/>
        <v>4.0500000000000007</v>
      </c>
      <c r="P31" s="1"/>
      <c r="Q31" s="1"/>
      <c r="R31" s="1"/>
      <c r="S31" s="1">
        <v>326.22000000000003</v>
      </c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7"/>
      <c r="E32" s="35"/>
      <c r="F32" s="18"/>
      <c r="G32" s="1"/>
      <c r="H32" s="1"/>
      <c r="I32" s="1"/>
      <c r="J32" s="1"/>
      <c r="K32" s="1"/>
      <c r="L32" s="1"/>
      <c r="M32" s="17">
        <f>1.7*2.1</f>
        <v>3.57</v>
      </c>
      <c r="N32" s="1">
        <f>1+1+1+1+1+1+1+1</f>
        <v>8</v>
      </c>
      <c r="O32" s="80">
        <f t="shared" si="2"/>
        <v>28.56</v>
      </c>
      <c r="P32" s="1"/>
      <c r="Q32" s="1"/>
      <c r="R32" s="1"/>
      <c r="S32" s="1">
        <v>251.12</v>
      </c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7"/>
      <c r="E33" s="35"/>
      <c r="F33" s="18"/>
      <c r="G33" s="1"/>
      <c r="H33" s="1"/>
      <c r="I33" s="1"/>
      <c r="J33" s="1"/>
      <c r="K33" s="1"/>
      <c r="L33" s="1"/>
      <c r="M33" s="17">
        <f>1.6*2.4</f>
        <v>3.84</v>
      </c>
      <c r="N33" s="1">
        <v>6</v>
      </c>
      <c r="O33" s="80">
        <f t="shared" si="2"/>
        <v>23.04</v>
      </c>
      <c r="P33" s="1"/>
      <c r="Q33" s="1"/>
      <c r="R33" s="1"/>
      <c r="S33" s="17">
        <f>SUM(S24:S32,D29)</f>
        <v>5061.7200000000012</v>
      </c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7"/>
      <c r="E34" s="35"/>
      <c r="F34" s="18"/>
      <c r="G34" s="1"/>
      <c r="H34" s="1"/>
      <c r="I34" s="1"/>
      <c r="J34" s="1"/>
      <c r="K34" s="1"/>
      <c r="L34" s="1"/>
      <c r="M34" s="1">
        <f>2*2.4</f>
        <v>4.8</v>
      </c>
      <c r="N34" s="1">
        <v>3</v>
      </c>
      <c r="O34" s="80">
        <f t="shared" si="2"/>
        <v>14.399999999999999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7"/>
      <c r="E35" s="35"/>
      <c r="F35" s="18"/>
      <c r="G35" s="1"/>
      <c r="H35" s="1"/>
      <c r="I35" s="1"/>
      <c r="J35" s="1"/>
      <c r="K35" s="1"/>
      <c r="L35" s="1"/>
      <c r="M35" s="1">
        <f>1.4*1.4</f>
        <v>1.9599999999999997</v>
      </c>
      <c r="N35" s="1">
        <f>4+2+1+1+4</f>
        <v>12</v>
      </c>
      <c r="O35" s="80">
        <f t="shared" si="2"/>
        <v>23.519999999999996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7"/>
      <c r="E36" s="35"/>
      <c r="F36" s="18"/>
      <c r="G36" s="1"/>
      <c r="H36" s="1"/>
      <c r="I36" s="1"/>
      <c r="J36" s="1"/>
      <c r="K36" s="1"/>
      <c r="L36" s="1"/>
      <c r="M36" s="1">
        <f>9.5*0.8</f>
        <v>7.6000000000000005</v>
      </c>
      <c r="N36" s="1">
        <v>1</v>
      </c>
      <c r="O36" s="80">
        <f t="shared" si="2"/>
        <v>7.6000000000000005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7"/>
      <c r="E37" s="35"/>
      <c r="F37" s="18"/>
      <c r="G37" s="1"/>
      <c r="H37" s="1"/>
      <c r="I37" s="1"/>
      <c r="J37" s="1"/>
      <c r="K37" s="1"/>
      <c r="L37" s="1"/>
      <c r="M37" s="1">
        <f>1.6*2.1</f>
        <v>3.3600000000000003</v>
      </c>
      <c r="N37" s="1">
        <v>1</v>
      </c>
      <c r="O37" s="80">
        <f t="shared" si="2"/>
        <v>3.3600000000000003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7"/>
      <c r="E38" s="35"/>
      <c r="F38" s="18"/>
      <c r="G38" s="1"/>
      <c r="H38" s="1"/>
      <c r="I38" s="1"/>
      <c r="J38" s="1">
        <f>68+(36.02*6)+(161.53*7)+(197.8*3)+104.77+(87.65*3)</f>
        <v>2375.9499999999998</v>
      </c>
      <c r="K38" s="1"/>
      <c r="L38" s="1"/>
      <c r="M38" s="1">
        <f>1.4*2.1</f>
        <v>2.94</v>
      </c>
      <c r="N38" s="1">
        <f>1+2</f>
        <v>3</v>
      </c>
      <c r="O38" s="80">
        <f t="shared" si="2"/>
        <v>8.82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7"/>
      <c r="E39" s="35"/>
      <c r="F39" s="18"/>
      <c r="G39" s="1"/>
      <c r="H39" s="1"/>
      <c r="I39" s="1"/>
      <c r="J39" s="1"/>
      <c r="K39" s="1"/>
      <c r="L39" s="1"/>
      <c r="M39" s="1">
        <f>1.2*0.7</f>
        <v>0.84</v>
      </c>
      <c r="N39" s="1">
        <v>4</v>
      </c>
      <c r="O39" s="80">
        <f t="shared" si="2"/>
        <v>3.36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7"/>
      <c r="E40" s="35"/>
      <c r="F40" s="18"/>
      <c r="G40" s="1"/>
      <c r="H40" s="1"/>
      <c r="I40" s="1"/>
      <c r="J40" s="1"/>
      <c r="K40" s="1"/>
      <c r="L40" s="1"/>
      <c r="M40" s="1"/>
      <c r="N40" s="1"/>
      <c r="O40" s="80">
        <f>SUM(O24:O39,D30,J29)</f>
        <v>367.75530600000008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7"/>
      <c r="E41" s="35"/>
      <c r="F41" s="1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7"/>
      <c r="E42" s="35"/>
      <c r="F42" s="1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7"/>
      <c r="E43" s="35"/>
      <c r="F43" s="1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7"/>
      <c r="E44" s="35"/>
      <c r="F44" s="1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7"/>
      <c r="E45" s="35"/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7"/>
      <c r="E46" s="35"/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7"/>
      <c r="E47" s="35"/>
      <c r="F47" s="1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7"/>
      <c r="E48" s="35"/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7"/>
      <c r="E49" s="35"/>
      <c r="F49" s="1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7"/>
      <c r="E50" s="35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7"/>
      <c r="E51" s="35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7"/>
      <c r="E52" s="35"/>
      <c r="F52" s="1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7"/>
      <c r="E53" s="35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7"/>
      <c r="E54" s="35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9">
    <mergeCell ref="A2:K4"/>
    <mergeCell ref="B7:K7"/>
    <mergeCell ref="B8:K8"/>
    <mergeCell ref="B9:K9"/>
    <mergeCell ref="B10:D10"/>
    <mergeCell ref="J10:K10"/>
    <mergeCell ref="A14:C14"/>
    <mergeCell ref="I14:J14"/>
    <mergeCell ref="A17:C17"/>
    <mergeCell ref="A18:C18"/>
    <mergeCell ref="A19:C19"/>
    <mergeCell ref="I18:J18"/>
    <mergeCell ref="I19:J19"/>
    <mergeCell ref="A15:C15"/>
    <mergeCell ref="A16:C16"/>
    <mergeCell ref="A20:C20"/>
    <mergeCell ref="A21:C21"/>
    <mergeCell ref="A22:C22"/>
    <mergeCell ref="A23:H23"/>
    <mergeCell ref="A24:H24"/>
    <mergeCell ref="I20:J20"/>
    <mergeCell ref="I21:J21"/>
    <mergeCell ref="I22:J22"/>
    <mergeCell ref="I23:J23"/>
    <mergeCell ref="D14:E14"/>
    <mergeCell ref="F14:G14"/>
    <mergeCell ref="I15:J15"/>
    <mergeCell ref="I16:J16"/>
    <mergeCell ref="I17:J17"/>
  </mergeCells>
  <pageMargins left="0.55118110236220474" right="0.27559055118110237" top="0.59055118110236227" bottom="0.59055118110236227" header="0" footer="0"/>
  <pageSetup paperSize="9" scale="95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3C66"/>
  </sheetPr>
  <dimension ref="A1:M1000"/>
  <sheetViews>
    <sheetView showGridLines="0" workbookViewId="0"/>
  </sheetViews>
  <sheetFormatPr defaultColWidth="14.44140625" defaultRowHeight="15" customHeight="1"/>
  <cols>
    <col min="1" max="1" width="11.6640625" customWidth="1"/>
    <col min="2" max="5" width="8.6640625" customWidth="1"/>
    <col min="6" max="6" width="9.5546875" customWidth="1"/>
    <col min="7" max="7" width="8.6640625" customWidth="1"/>
    <col min="8" max="8" width="13.33203125" customWidth="1"/>
    <col min="9" max="9" width="11.44140625" customWidth="1"/>
    <col min="10" max="10" width="11" customWidth="1"/>
    <col min="11" max="26" width="8.6640625" customWidth="1"/>
  </cols>
  <sheetData>
    <row r="1" spans="1:13" ht="14.2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2"/>
    </row>
    <row r="2" spans="1:13" ht="14.25" customHeight="1">
      <c r="A2" s="193" t="s">
        <v>297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</row>
    <row r="3" spans="1:13" ht="14.2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</row>
    <row r="4" spans="1:13" ht="14.2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</row>
    <row r="5" spans="1:13" ht="14.2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2"/>
    </row>
    <row r="6" spans="1:13" ht="14.2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2"/>
    </row>
    <row r="7" spans="1:13" ht="14.2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</row>
    <row r="8" spans="1:13" ht="14.2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</row>
    <row r="9" spans="1:13" ht="14.2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</row>
    <row r="10" spans="1:13" ht="14.2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</row>
    <row r="11" spans="1:13" ht="14.2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"/>
    </row>
    <row r="12" spans="1:13" ht="14.25" customHeight="1">
      <c r="A12" s="21" t="s">
        <v>77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 t="s">
        <v>20</v>
      </c>
      <c r="M12" s="1"/>
    </row>
    <row r="13" spans="1:13" ht="14.2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</row>
    <row r="14" spans="1:13" ht="14.25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"/>
    </row>
    <row r="15" spans="1:13" ht="14.25" customHeight="1">
      <c r="A15" s="150" t="s">
        <v>298</v>
      </c>
      <c r="B15" s="151"/>
      <c r="C15" s="152"/>
      <c r="D15" s="77">
        <v>745.09</v>
      </c>
      <c r="E15" s="77" t="s">
        <v>19</v>
      </c>
      <c r="F15" s="106">
        <v>200</v>
      </c>
      <c r="G15" s="98" t="s">
        <v>142</v>
      </c>
      <c r="H15" s="99" t="s">
        <v>97</v>
      </c>
      <c r="I15" s="161">
        <f>F15*D15</f>
        <v>149018</v>
      </c>
      <c r="J15" s="152"/>
      <c r="K15" s="27"/>
      <c r="L15" s="1"/>
      <c r="M15" s="1"/>
    </row>
    <row r="16" spans="1:13" ht="14.25" customHeight="1">
      <c r="A16" s="150" t="s">
        <v>299</v>
      </c>
      <c r="B16" s="151"/>
      <c r="C16" s="152"/>
      <c r="D16" s="77">
        <v>1</v>
      </c>
      <c r="E16" s="77" t="s">
        <v>19</v>
      </c>
      <c r="F16" s="106">
        <v>26.3</v>
      </c>
      <c r="G16" s="98" t="s">
        <v>142</v>
      </c>
      <c r="H16" s="99" t="s">
        <v>97</v>
      </c>
      <c r="I16" s="161">
        <f>F16*D15</f>
        <v>19595.867000000002</v>
      </c>
      <c r="J16" s="152"/>
      <c r="K16" s="27"/>
      <c r="L16" s="1"/>
      <c r="M16" s="1"/>
    </row>
    <row r="17" spans="1:13" ht="14.25" customHeight="1">
      <c r="A17" s="133" t="s">
        <v>63</v>
      </c>
      <c r="B17" s="134"/>
      <c r="C17" s="134"/>
      <c r="D17" s="134"/>
      <c r="E17" s="134"/>
      <c r="F17" s="134"/>
      <c r="G17" s="134"/>
      <c r="H17" s="135"/>
      <c r="I17" s="160">
        <f>SUM(I15:J16)</f>
        <v>168613.867</v>
      </c>
      <c r="J17" s="135"/>
      <c r="K17" s="31"/>
      <c r="L17" s="1"/>
      <c r="M17" s="1"/>
    </row>
    <row r="18" spans="1:13" ht="14.25" customHeight="1">
      <c r="A18" s="149"/>
      <c r="B18" s="134"/>
      <c r="C18" s="134"/>
      <c r="D18" s="134"/>
      <c r="E18" s="134"/>
      <c r="F18" s="134"/>
      <c r="G18" s="134"/>
      <c r="H18" s="134"/>
      <c r="I18" s="43"/>
      <c r="J18" s="33"/>
      <c r="K18" s="34"/>
      <c r="L18" s="1"/>
      <c r="M18" s="1"/>
    </row>
    <row r="19" spans="1:13" ht="14.25" customHeight="1">
      <c r="A19" s="1"/>
      <c r="B19" s="1"/>
      <c r="C19" s="1"/>
      <c r="D19" s="17"/>
      <c r="E19" s="35"/>
      <c r="F19" s="18"/>
      <c r="G19" s="1"/>
      <c r="H19" s="1"/>
      <c r="I19" s="1"/>
      <c r="J19" s="17">
        <f>I17</f>
        <v>168613.867</v>
      </c>
      <c r="K19" s="1">
        <f>J19/'Dados Gerais'!E15</f>
        <v>3.2107117558749669</v>
      </c>
      <c r="L19" s="1"/>
      <c r="M19" s="1"/>
    </row>
    <row r="20" spans="1:13" ht="14.25" customHeight="1">
      <c r="A20" s="1"/>
      <c r="B20" s="1"/>
      <c r="C20" s="1"/>
      <c r="D20" s="17"/>
      <c r="E20" s="35"/>
      <c r="F20" s="18"/>
      <c r="G20" s="1"/>
      <c r="H20" s="1"/>
      <c r="I20" s="1"/>
      <c r="J20" s="1"/>
      <c r="K20" s="1"/>
      <c r="L20" s="1"/>
      <c r="M20" s="1"/>
    </row>
    <row r="21" spans="1:13" ht="14.25" customHeight="1">
      <c r="A21" s="1"/>
      <c r="B21" s="1"/>
      <c r="C21" s="1"/>
      <c r="D21" s="17"/>
      <c r="E21" s="35"/>
      <c r="F21" s="18"/>
      <c r="G21" s="1"/>
      <c r="H21" s="1"/>
      <c r="I21" s="1"/>
      <c r="J21" s="1"/>
      <c r="K21" s="1"/>
      <c r="L21" s="1"/>
      <c r="M21" s="1"/>
    </row>
    <row r="22" spans="1:13" ht="14.25" customHeight="1">
      <c r="A22" s="1"/>
      <c r="B22" s="1"/>
      <c r="C22" s="1"/>
      <c r="D22" s="17"/>
      <c r="E22" s="35"/>
      <c r="F22" s="18"/>
      <c r="G22" s="1"/>
      <c r="H22" s="1"/>
      <c r="I22" s="1"/>
      <c r="J22" s="1"/>
      <c r="K22" s="1"/>
      <c r="L22" s="1"/>
      <c r="M22" s="1"/>
    </row>
    <row r="23" spans="1:13" ht="14.25" customHeight="1">
      <c r="A23" s="1"/>
      <c r="B23" s="1"/>
      <c r="C23" s="1"/>
      <c r="D23" s="17"/>
      <c r="E23" s="35"/>
      <c r="F23" s="18"/>
      <c r="G23" s="1"/>
      <c r="H23" s="1"/>
      <c r="I23" s="1"/>
      <c r="J23" s="1"/>
      <c r="K23" s="1"/>
      <c r="L23" s="1"/>
      <c r="M23" s="1"/>
    </row>
    <row r="24" spans="1:13" ht="14.25" customHeight="1">
      <c r="A24" s="1"/>
      <c r="B24" s="1"/>
      <c r="C24" s="1"/>
      <c r="D24" s="17"/>
      <c r="E24" s="35"/>
      <c r="F24" s="18"/>
      <c r="G24" s="1"/>
      <c r="H24" s="1"/>
      <c r="I24" s="1"/>
      <c r="J24" s="1"/>
      <c r="K24" s="1"/>
      <c r="L24" s="1"/>
      <c r="M24" s="1"/>
    </row>
    <row r="25" spans="1:13" ht="14.25" customHeight="1">
      <c r="A25" s="1"/>
      <c r="B25" s="1"/>
      <c r="C25" s="1"/>
      <c r="D25" s="17"/>
      <c r="E25" s="35"/>
      <c r="F25" s="18"/>
      <c r="G25" s="1"/>
      <c r="H25" s="1"/>
      <c r="I25" s="1"/>
      <c r="J25" s="1"/>
      <c r="K25" s="1"/>
      <c r="L25" s="1"/>
      <c r="M25" s="1"/>
    </row>
    <row r="26" spans="1:13" ht="14.25" customHeight="1">
      <c r="A26" s="1"/>
      <c r="B26" s="1"/>
      <c r="C26" s="1"/>
      <c r="D26" s="17"/>
      <c r="E26" s="35"/>
      <c r="F26" s="18"/>
      <c r="G26" s="1"/>
      <c r="H26" s="1"/>
      <c r="I26" s="1"/>
      <c r="J26" s="1"/>
      <c r="K26" s="1"/>
      <c r="L26" s="1"/>
      <c r="M26" s="1"/>
    </row>
    <row r="27" spans="1:13" ht="14.25" customHeight="1">
      <c r="A27" s="1"/>
      <c r="B27" s="1"/>
      <c r="C27" s="1"/>
      <c r="D27" s="17"/>
      <c r="E27" s="35"/>
      <c r="F27" s="18"/>
      <c r="G27" s="1"/>
      <c r="H27" s="1"/>
      <c r="I27" s="1"/>
      <c r="J27" s="1"/>
      <c r="K27" s="1"/>
      <c r="L27" s="1"/>
      <c r="M27" s="1"/>
    </row>
    <row r="28" spans="1:13" ht="14.25" customHeight="1">
      <c r="A28" s="1"/>
      <c r="B28" s="1"/>
      <c r="C28" s="1"/>
      <c r="D28" s="17"/>
      <c r="E28" s="35"/>
      <c r="F28" s="18"/>
      <c r="G28" s="1"/>
      <c r="H28" s="1"/>
      <c r="I28" s="1"/>
      <c r="J28" s="1"/>
      <c r="K28" s="1"/>
      <c r="L28" s="1"/>
      <c r="M28" s="1"/>
    </row>
    <row r="29" spans="1:13" ht="14.25" customHeight="1">
      <c r="A29" s="1"/>
      <c r="B29" s="1"/>
      <c r="C29" s="1"/>
      <c r="D29" s="17"/>
      <c r="E29" s="35"/>
      <c r="F29" s="18"/>
      <c r="G29" s="1"/>
      <c r="H29" s="1"/>
      <c r="I29" s="1"/>
      <c r="J29" s="1"/>
      <c r="K29" s="1"/>
      <c r="L29" s="1"/>
      <c r="M29" s="1"/>
    </row>
    <row r="30" spans="1:13" ht="14.25" customHeight="1">
      <c r="A30" s="1"/>
      <c r="B30" s="1"/>
      <c r="C30" s="1"/>
      <c r="D30" s="17"/>
      <c r="E30" s="35"/>
      <c r="F30" s="18"/>
      <c r="G30" s="1"/>
      <c r="H30" s="1"/>
      <c r="I30" s="1"/>
      <c r="J30" s="1"/>
      <c r="K30" s="1"/>
      <c r="L30" s="1"/>
      <c r="M30" s="1"/>
    </row>
    <row r="31" spans="1:13" ht="14.25" customHeight="1">
      <c r="A31" s="1"/>
      <c r="B31" s="1"/>
      <c r="C31" s="1"/>
      <c r="D31" s="17"/>
      <c r="E31" s="35"/>
      <c r="F31" s="18"/>
      <c r="G31" s="1"/>
      <c r="H31" s="1"/>
      <c r="I31" s="1"/>
      <c r="J31" s="1"/>
      <c r="K31" s="1"/>
      <c r="L31" s="1"/>
      <c r="M31" s="1"/>
    </row>
    <row r="32" spans="1:13" ht="14.25" customHeight="1">
      <c r="A32" s="1"/>
      <c r="B32" s="1"/>
      <c r="C32" s="1"/>
      <c r="D32" s="17"/>
      <c r="E32" s="35"/>
      <c r="F32" s="18"/>
      <c r="G32" s="1"/>
      <c r="H32" s="1"/>
      <c r="I32" s="1"/>
      <c r="J32" s="1"/>
      <c r="K32" s="1"/>
      <c r="L32" s="1"/>
      <c r="M32" s="1"/>
    </row>
    <row r="33" spans="1:13" ht="14.25" customHeight="1">
      <c r="A33" s="1"/>
      <c r="B33" s="1"/>
      <c r="C33" s="1"/>
      <c r="D33" s="17"/>
      <c r="E33" s="35"/>
      <c r="F33" s="18"/>
      <c r="G33" s="1"/>
      <c r="H33" s="1"/>
      <c r="I33" s="1"/>
      <c r="J33" s="1"/>
      <c r="K33" s="1"/>
      <c r="L33" s="1"/>
      <c r="M33" s="1"/>
    </row>
    <row r="34" spans="1:13" ht="14.25" customHeight="1">
      <c r="A34" s="1"/>
      <c r="B34" s="1"/>
      <c r="C34" s="1"/>
      <c r="D34" s="17"/>
      <c r="E34" s="35"/>
      <c r="F34" s="18"/>
      <c r="G34" s="1"/>
      <c r="H34" s="1"/>
      <c r="I34" s="1"/>
      <c r="J34" s="1"/>
      <c r="K34" s="1"/>
      <c r="L34" s="1"/>
      <c r="M34" s="1"/>
    </row>
    <row r="35" spans="1:13" ht="14.25" customHeight="1">
      <c r="A35" s="1"/>
      <c r="B35" s="1"/>
      <c r="C35" s="1"/>
      <c r="D35" s="17"/>
      <c r="E35" s="35"/>
      <c r="F35" s="18"/>
      <c r="G35" s="1"/>
      <c r="H35" s="1"/>
      <c r="I35" s="1"/>
      <c r="J35" s="1"/>
      <c r="K35" s="1"/>
      <c r="L35" s="1"/>
      <c r="M35" s="1"/>
    </row>
    <row r="36" spans="1:13" ht="14.25" customHeight="1">
      <c r="A36" s="1"/>
      <c r="B36" s="1"/>
      <c r="C36" s="1"/>
      <c r="D36" s="17"/>
      <c r="E36" s="35"/>
      <c r="F36" s="18"/>
      <c r="G36" s="1"/>
      <c r="H36" s="1"/>
      <c r="I36" s="1"/>
      <c r="J36" s="1"/>
      <c r="K36" s="1"/>
      <c r="L36" s="1"/>
      <c r="M36" s="1"/>
    </row>
    <row r="37" spans="1:13" ht="14.25" customHeight="1">
      <c r="A37" s="1"/>
      <c r="B37" s="1"/>
      <c r="C37" s="1"/>
      <c r="D37" s="17"/>
      <c r="E37" s="35"/>
      <c r="F37" s="18"/>
      <c r="G37" s="1"/>
      <c r="H37" s="1"/>
      <c r="I37" s="1"/>
      <c r="J37" s="1"/>
      <c r="K37" s="1"/>
      <c r="L37" s="1"/>
      <c r="M37" s="1"/>
    </row>
    <row r="38" spans="1:13" ht="14.25" customHeight="1">
      <c r="A38" s="1"/>
      <c r="B38" s="1"/>
      <c r="C38" s="1"/>
      <c r="D38" s="17"/>
      <c r="E38" s="35"/>
      <c r="F38" s="18"/>
      <c r="G38" s="1"/>
      <c r="H38" s="1"/>
      <c r="I38" s="1"/>
      <c r="J38" s="1"/>
      <c r="K38" s="1"/>
      <c r="L38" s="1"/>
      <c r="M38" s="1"/>
    </row>
    <row r="39" spans="1:13" ht="14.25" customHeight="1">
      <c r="A39" s="1"/>
      <c r="B39" s="1"/>
      <c r="C39" s="1"/>
      <c r="D39" s="17"/>
      <c r="E39" s="35"/>
      <c r="F39" s="18"/>
      <c r="G39" s="1"/>
      <c r="H39" s="1"/>
      <c r="I39" s="1"/>
      <c r="J39" s="1"/>
      <c r="K39" s="1"/>
      <c r="L39" s="1"/>
      <c r="M39" s="1"/>
    </row>
    <row r="40" spans="1:13" ht="14.25" customHeight="1">
      <c r="A40" s="1"/>
      <c r="B40" s="1"/>
      <c r="C40" s="1"/>
      <c r="D40" s="17"/>
      <c r="E40" s="35"/>
      <c r="F40" s="18"/>
      <c r="G40" s="1"/>
      <c r="H40" s="1"/>
      <c r="I40" s="1"/>
      <c r="J40" s="1"/>
      <c r="K40" s="1"/>
      <c r="L40" s="1"/>
      <c r="M40" s="1"/>
    </row>
    <row r="41" spans="1:13" ht="14.25" customHeight="1">
      <c r="A41" s="1"/>
      <c r="B41" s="1"/>
      <c r="C41" s="1"/>
      <c r="D41" s="17"/>
      <c r="E41" s="35"/>
      <c r="F41" s="18"/>
      <c r="G41" s="1"/>
      <c r="H41" s="1"/>
      <c r="I41" s="1"/>
      <c r="J41" s="1"/>
      <c r="K41" s="1"/>
      <c r="L41" s="1"/>
      <c r="M41" s="1"/>
    </row>
    <row r="42" spans="1:13" ht="14.25" customHeight="1">
      <c r="A42" s="1"/>
      <c r="B42" s="1"/>
      <c r="C42" s="1"/>
      <c r="D42" s="17"/>
      <c r="E42" s="35"/>
      <c r="F42" s="18"/>
      <c r="G42" s="1"/>
      <c r="H42" s="1"/>
      <c r="I42" s="1"/>
      <c r="J42" s="1"/>
      <c r="K42" s="1"/>
      <c r="L42" s="1"/>
      <c r="M42" s="1"/>
    </row>
    <row r="43" spans="1:13" ht="14.25" customHeight="1">
      <c r="A43" s="1"/>
      <c r="B43" s="1"/>
      <c r="C43" s="1"/>
      <c r="D43" s="17"/>
      <c r="E43" s="35"/>
      <c r="F43" s="18"/>
      <c r="G43" s="1"/>
      <c r="H43" s="1"/>
      <c r="I43" s="1"/>
      <c r="J43" s="1"/>
      <c r="K43" s="1"/>
      <c r="L43" s="1"/>
      <c r="M43" s="1"/>
    </row>
    <row r="44" spans="1:13" ht="14.25" customHeight="1">
      <c r="A44" s="1"/>
      <c r="B44" s="1"/>
      <c r="C44" s="1"/>
      <c r="D44" s="17"/>
      <c r="E44" s="35"/>
      <c r="F44" s="18"/>
      <c r="G44" s="1"/>
      <c r="H44" s="1"/>
      <c r="I44" s="1"/>
      <c r="J44" s="1"/>
      <c r="K44" s="1"/>
      <c r="L44" s="1"/>
      <c r="M44" s="1"/>
    </row>
    <row r="45" spans="1:13" ht="14.25" customHeight="1">
      <c r="A45" s="1"/>
      <c r="B45" s="1"/>
      <c r="C45" s="1"/>
      <c r="D45" s="17"/>
      <c r="E45" s="35"/>
      <c r="F45" s="18"/>
      <c r="G45" s="1"/>
      <c r="H45" s="1"/>
      <c r="I45" s="1"/>
      <c r="J45" s="1"/>
      <c r="K45" s="1"/>
      <c r="L45" s="1"/>
      <c r="M45" s="1"/>
    </row>
    <row r="46" spans="1:13" ht="14.25" customHeight="1"/>
    <row r="47" spans="1:13" ht="14.25" customHeight="1"/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A2:K4"/>
    <mergeCell ref="B7:K7"/>
    <mergeCell ref="B8:K8"/>
    <mergeCell ref="B9:K9"/>
    <mergeCell ref="B10:D10"/>
    <mergeCell ref="J10:K10"/>
    <mergeCell ref="A14:C14"/>
    <mergeCell ref="I14:J14"/>
    <mergeCell ref="A17:H17"/>
    <mergeCell ref="A18:H18"/>
    <mergeCell ref="D14:E14"/>
    <mergeCell ref="F14:G14"/>
    <mergeCell ref="A15:C15"/>
    <mergeCell ref="I15:J15"/>
    <mergeCell ref="A16:C16"/>
    <mergeCell ref="I16:J16"/>
    <mergeCell ref="I17:J17"/>
  </mergeCells>
  <pageMargins left="0.511811024" right="0.511811024" top="0.78740157499999996" bottom="0.78740157499999996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3C66"/>
  </sheetPr>
  <dimension ref="A1:Z1000"/>
  <sheetViews>
    <sheetView showGridLines="0" workbookViewId="0">
      <selection activeCell="J48" sqref="J48"/>
    </sheetView>
  </sheetViews>
  <sheetFormatPr defaultColWidth="14.44140625" defaultRowHeight="15" customHeight="1"/>
  <cols>
    <col min="1" max="1" width="17.44140625" customWidth="1"/>
    <col min="2" max="2" width="9.88671875" customWidth="1"/>
    <col min="3" max="3" width="8.88671875" customWidth="1"/>
    <col min="4" max="4" width="14" customWidth="1"/>
    <col min="5" max="5" width="7.5546875" customWidth="1"/>
    <col min="6" max="6" width="11.5546875" customWidth="1"/>
    <col min="7" max="7" width="15.88671875" customWidth="1"/>
    <col min="8" max="8" width="12.88671875" customWidth="1"/>
    <col min="9" max="9" width="11.109375" customWidth="1"/>
    <col min="10" max="10" width="16.33203125" customWidth="1"/>
    <col min="11" max="11" width="6.44140625" customWidth="1"/>
    <col min="12" max="12" width="14.5546875" customWidth="1"/>
    <col min="13" max="13" width="12.44140625" customWidth="1"/>
    <col min="14" max="14" width="9.109375" customWidth="1"/>
    <col min="15" max="15" width="10.44140625" customWidth="1"/>
    <col min="16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308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1" t="s">
        <v>309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 t="s">
        <v>20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50" t="s">
        <v>310</v>
      </c>
      <c r="B15" s="151"/>
      <c r="C15" s="152"/>
      <c r="D15" s="77">
        <f>352.3*15</f>
        <v>5284.5</v>
      </c>
      <c r="E15" s="77" t="s">
        <v>19</v>
      </c>
      <c r="F15" s="106">
        <v>25</v>
      </c>
      <c r="G15" s="99" t="s">
        <v>311</v>
      </c>
      <c r="H15" s="99" t="s">
        <v>115</v>
      </c>
      <c r="I15" s="153">
        <f t="shared" ref="I15:I16" si="0">+D15*F15</f>
        <v>132112.5</v>
      </c>
      <c r="J15" s="152"/>
      <c r="K15" s="27"/>
      <c r="L15" s="102">
        <f t="shared" ref="L15:L16" si="1">+D15*F15</f>
        <v>132112.5</v>
      </c>
      <c r="M15" s="1"/>
      <c r="N15" s="1"/>
      <c r="O15" s="1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64" t="s">
        <v>132</v>
      </c>
      <c r="B16" s="157"/>
      <c r="C16" s="158"/>
      <c r="D16" s="79">
        <f>D15</f>
        <v>5284.5</v>
      </c>
      <c r="E16" s="79" t="s">
        <v>19</v>
      </c>
      <c r="F16" s="110">
        <v>55</v>
      </c>
      <c r="G16" s="111" t="s">
        <v>311</v>
      </c>
      <c r="H16" s="111" t="s">
        <v>115</v>
      </c>
      <c r="I16" s="156">
        <f t="shared" si="0"/>
        <v>290647.5</v>
      </c>
      <c r="J16" s="158"/>
      <c r="K16" s="27"/>
      <c r="L16" s="102">
        <f t="shared" si="1"/>
        <v>290647.5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33" t="s">
        <v>63</v>
      </c>
      <c r="B17" s="134"/>
      <c r="C17" s="134"/>
      <c r="D17" s="134"/>
      <c r="E17" s="134"/>
      <c r="F17" s="134"/>
      <c r="G17" s="134"/>
      <c r="H17" s="135"/>
      <c r="I17" s="139">
        <f>SUM(I15:J16)</f>
        <v>422760</v>
      </c>
      <c r="J17" s="135"/>
      <c r="K17" s="3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49"/>
      <c r="B18" s="134"/>
      <c r="C18" s="134"/>
      <c r="D18" s="134"/>
      <c r="E18" s="134"/>
      <c r="F18" s="134"/>
      <c r="G18" s="134"/>
      <c r="H18" s="134"/>
      <c r="I18" s="43"/>
      <c r="J18" s="33"/>
      <c r="K18" s="3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7"/>
      <c r="E19" s="35"/>
      <c r="F19" s="1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1" t="s">
        <v>312</v>
      </c>
      <c r="B20" s="22"/>
      <c r="C20" s="22"/>
      <c r="D20" s="56"/>
      <c r="E20" s="36"/>
      <c r="F20" s="23"/>
      <c r="G20" s="22"/>
      <c r="H20" s="22"/>
      <c r="I20" s="22"/>
      <c r="J20" s="22"/>
      <c r="K20" s="2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5"/>
      <c r="B21" s="26"/>
      <c r="C21" s="26"/>
      <c r="D21" s="57"/>
      <c r="E21" s="58"/>
      <c r="F21" s="26"/>
      <c r="G21" s="26"/>
      <c r="H21" s="26"/>
      <c r="I21" s="1"/>
      <c r="J21" s="1"/>
      <c r="K21" s="2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44" t="s">
        <v>14</v>
      </c>
      <c r="B22" s="134"/>
      <c r="C22" s="145"/>
      <c r="D22" s="162" t="s">
        <v>86</v>
      </c>
      <c r="E22" s="135"/>
      <c r="F22" s="143" t="s">
        <v>87</v>
      </c>
      <c r="G22" s="135"/>
      <c r="H22" s="59" t="s">
        <v>88</v>
      </c>
      <c r="I22" s="143" t="s">
        <v>62</v>
      </c>
      <c r="J22" s="135"/>
      <c r="K22" s="2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50" t="s">
        <v>313</v>
      </c>
      <c r="B23" s="151"/>
      <c r="C23" s="152"/>
      <c r="D23" s="77">
        <v>0</v>
      </c>
      <c r="E23" s="77" t="s">
        <v>19</v>
      </c>
      <c r="F23" s="106">
        <v>3.75</v>
      </c>
      <c r="G23" s="99" t="s">
        <v>314</v>
      </c>
      <c r="H23" s="99" t="s">
        <v>115</v>
      </c>
      <c r="I23" s="153">
        <f>+D23*F23*150</f>
        <v>0</v>
      </c>
      <c r="J23" s="152"/>
      <c r="K23" s="27"/>
      <c r="L23" s="1"/>
      <c r="M23" s="17">
        <f>I23*0.6</f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33" t="s">
        <v>63</v>
      </c>
      <c r="B24" s="134"/>
      <c r="C24" s="134"/>
      <c r="D24" s="134"/>
      <c r="E24" s="134"/>
      <c r="F24" s="134"/>
      <c r="G24" s="134"/>
      <c r="H24" s="135"/>
      <c r="I24" s="139">
        <f>SUM(I23:J23)</f>
        <v>0</v>
      </c>
      <c r="J24" s="135"/>
      <c r="K24" s="31"/>
      <c r="L24" s="1"/>
      <c r="M24" s="17">
        <f>I23*0.4</f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49"/>
      <c r="B25" s="134"/>
      <c r="C25" s="134"/>
      <c r="D25" s="134"/>
      <c r="E25" s="134"/>
      <c r="F25" s="134"/>
      <c r="G25" s="134"/>
      <c r="H25" s="134"/>
      <c r="I25" s="43"/>
      <c r="J25" s="33"/>
      <c r="K25" s="3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1" t="s">
        <v>315</v>
      </c>
      <c r="B26" s="22"/>
      <c r="C26" s="22"/>
      <c r="D26" s="56"/>
      <c r="E26" s="36"/>
      <c r="F26" s="23"/>
      <c r="G26" s="22"/>
      <c r="H26" s="22"/>
      <c r="I26" s="22"/>
      <c r="J26" s="22"/>
      <c r="K26" s="2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5"/>
      <c r="B27" s="26"/>
      <c r="C27" s="26"/>
      <c r="D27" s="57"/>
      <c r="E27" s="58"/>
      <c r="F27" s="26"/>
      <c r="G27" s="26"/>
      <c r="H27" s="26"/>
      <c r="I27" s="1"/>
      <c r="J27" s="1"/>
      <c r="K27" s="2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44" t="s">
        <v>14</v>
      </c>
      <c r="B28" s="134"/>
      <c r="C28" s="145"/>
      <c r="D28" s="162" t="s">
        <v>86</v>
      </c>
      <c r="E28" s="135"/>
      <c r="F28" s="143" t="s">
        <v>87</v>
      </c>
      <c r="G28" s="135"/>
      <c r="H28" s="59" t="s">
        <v>88</v>
      </c>
      <c r="I28" s="143" t="s">
        <v>62</v>
      </c>
      <c r="J28" s="135"/>
      <c r="K28" s="2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>
      <c r="A29" s="148" t="s">
        <v>316</v>
      </c>
      <c r="B29" s="137"/>
      <c r="C29" s="138"/>
      <c r="D29" s="78">
        <v>6305.5</v>
      </c>
      <c r="E29" s="78" t="s">
        <v>19</v>
      </c>
      <c r="F29" s="113">
        <v>1918.22</v>
      </c>
      <c r="G29" s="111" t="s">
        <v>317</v>
      </c>
      <c r="H29" s="92" t="s">
        <v>97</v>
      </c>
      <c r="I29" s="136">
        <f t="shared" ref="I29:I34" si="2">D29*F29</f>
        <v>12095336.210000001</v>
      </c>
      <c r="J29" s="138"/>
      <c r="K29" s="27"/>
      <c r="L29" s="1"/>
      <c r="M29" s="1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48" t="s">
        <v>318</v>
      </c>
      <c r="B30" s="137"/>
      <c r="C30" s="138"/>
      <c r="D30" s="78">
        <v>2655.6</v>
      </c>
      <c r="E30" s="78" t="s">
        <v>19</v>
      </c>
      <c r="F30" s="113">
        <v>1983.59</v>
      </c>
      <c r="G30" s="111" t="s">
        <v>317</v>
      </c>
      <c r="H30" s="92" t="s">
        <v>97</v>
      </c>
      <c r="I30" s="136">
        <f t="shared" si="2"/>
        <v>5267621.6039999994</v>
      </c>
      <c r="J30" s="138"/>
      <c r="K30" s="27"/>
      <c r="L30" s="1"/>
      <c r="M30" s="1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48" t="s">
        <v>319</v>
      </c>
      <c r="B31" s="137"/>
      <c r="C31" s="138"/>
      <c r="D31" s="78">
        <v>311.31</v>
      </c>
      <c r="E31" s="78" t="s">
        <v>19</v>
      </c>
      <c r="F31" s="113">
        <v>5759.26</v>
      </c>
      <c r="G31" s="111" t="s">
        <v>317</v>
      </c>
      <c r="H31" s="92" t="s">
        <v>97</v>
      </c>
      <c r="I31" s="136">
        <f t="shared" si="2"/>
        <v>1792915.2306000001</v>
      </c>
      <c r="J31" s="138"/>
      <c r="K31" s="27"/>
      <c r="L31" s="1"/>
      <c r="M31" s="1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148" t="s">
        <v>316</v>
      </c>
      <c r="B32" s="137"/>
      <c r="C32" s="138"/>
      <c r="D32" s="78">
        <v>3958.3</v>
      </c>
      <c r="E32" s="78" t="s">
        <v>19</v>
      </c>
      <c r="F32" s="113">
        <v>2006.69</v>
      </c>
      <c r="G32" s="111" t="s">
        <v>317</v>
      </c>
      <c r="H32" s="92" t="s">
        <v>97</v>
      </c>
      <c r="I32" s="136">
        <f t="shared" si="2"/>
        <v>7943081.0270000007</v>
      </c>
      <c r="J32" s="138"/>
      <c r="K32" s="27"/>
      <c r="L32" s="1"/>
      <c r="M32" s="17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>
      <c r="A33" s="148" t="s">
        <v>318</v>
      </c>
      <c r="B33" s="137"/>
      <c r="C33" s="138"/>
      <c r="D33" s="78">
        <v>232</v>
      </c>
      <c r="E33" s="78" t="s">
        <v>19</v>
      </c>
      <c r="F33" s="113">
        <v>2072.06</v>
      </c>
      <c r="G33" s="111" t="s">
        <v>317</v>
      </c>
      <c r="H33" s="92" t="s">
        <v>97</v>
      </c>
      <c r="I33" s="136">
        <f t="shared" si="2"/>
        <v>480717.92</v>
      </c>
      <c r="J33" s="138"/>
      <c r="K33" s="27"/>
      <c r="L33" s="1"/>
      <c r="M33" s="17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148" t="s">
        <v>320</v>
      </c>
      <c r="B34" s="137"/>
      <c r="C34" s="138"/>
      <c r="D34" s="78">
        <v>186.07</v>
      </c>
      <c r="E34" s="78" t="s">
        <v>19</v>
      </c>
      <c r="F34" s="113">
        <v>1289.8599999999999</v>
      </c>
      <c r="G34" s="111" t="s">
        <v>317</v>
      </c>
      <c r="H34" s="92" t="s">
        <v>97</v>
      </c>
      <c r="I34" s="136">
        <f t="shared" si="2"/>
        <v>240004.25019999998</v>
      </c>
      <c r="J34" s="138"/>
      <c r="K34" s="27"/>
      <c r="L34" s="1"/>
      <c r="M34" s="1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33"/>
      <c r="B35" s="134"/>
      <c r="C35" s="134"/>
      <c r="D35" s="134"/>
      <c r="E35" s="134"/>
      <c r="F35" s="134"/>
      <c r="G35" s="134"/>
      <c r="H35" s="135"/>
      <c r="I35" s="139">
        <f>SUM(I29:J34)</f>
        <v>27819676.241799999</v>
      </c>
      <c r="J35" s="135"/>
      <c r="K35" s="3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49"/>
      <c r="B36" s="134"/>
      <c r="C36" s="134"/>
      <c r="D36" s="134"/>
      <c r="E36" s="134"/>
      <c r="F36" s="134"/>
      <c r="G36" s="134"/>
      <c r="H36" s="134"/>
      <c r="I36" s="43"/>
      <c r="J36" s="33"/>
      <c r="K36" s="3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7"/>
      <c r="E37" s="35"/>
      <c r="F37" s="18"/>
      <c r="G37" s="1"/>
      <c r="H37" s="1"/>
      <c r="I37" s="1"/>
      <c r="J37" s="17">
        <f>I35+I24+I17</f>
        <v>28242436.241799999</v>
      </c>
      <c r="K37" s="1">
        <f>J37/'Dados Gerais'!E15</f>
        <v>537.78685982035199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7"/>
      <c r="E38" s="35"/>
      <c r="F38" s="1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7"/>
      <c r="E39" s="35"/>
      <c r="F39" s="1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7"/>
      <c r="E40" s="35"/>
      <c r="F40" s="1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7"/>
      <c r="E41" s="35"/>
      <c r="F41" s="1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7"/>
      <c r="E42" s="35"/>
      <c r="F42" s="1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7"/>
      <c r="E43" s="35"/>
      <c r="F43" s="1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7"/>
      <c r="E44" s="35"/>
      <c r="F44" s="1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7"/>
      <c r="E45" s="35"/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7"/>
      <c r="E46" s="35"/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7"/>
      <c r="E47" s="35"/>
      <c r="F47" s="1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7"/>
      <c r="E48" s="35"/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7"/>
      <c r="E49" s="35"/>
      <c r="F49" s="1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7"/>
      <c r="E50" s="35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7"/>
      <c r="E51" s="35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7"/>
      <c r="E52" s="35"/>
      <c r="F52" s="1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7"/>
      <c r="E53" s="35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7"/>
      <c r="E54" s="35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5">
    <mergeCell ref="A2:K4"/>
    <mergeCell ref="B7:K7"/>
    <mergeCell ref="B8:K8"/>
    <mergeCell ref="B9:K9"/>
    <mergeCell ref="B10:D10"/>
    <mergeCell ref="J10:K10"/>
    <mergeCell ref="A14:C14"/>
    <mergeCell ref="I14:J14"/>
    <mergeCell ref="D14:E14"/>
    <mergeCell ref="F14:G14"/>
    <mergeCell ref="A15:C15"/>
    <mergeCell ref="I15:J15"/>
    <mergeCell ref="A16:C16"/>
    <mergeCell ref="I16:J16"/>
    <mergeCell ref="I17:J17"/>
    <mergeCell ref="A17:H17"/>
    <mergeCell ref="A18:H18"/>
    <mergeCell ref="A22:C22"/>
    <mergeCell ref="D22:E22"/>
    <mergeCell ref="F22:G22"/>
    <mergeCell ref="I22:J22"/>
    <mergeCell ref="I23:J23"/>
    <mergeCell ref="I34:J34"/>
    <mergeCell ref="I35:J35"/>
    <mergeCell ref="A23:C23"/>
    <mergeCell ref="A24:H24"/>
    <mergeCell ref="I24:J24"/>
    <mergeCell ref="A25:H25"/>
    <mergeCell ref="D28:E28"/>
    <mergeCell ref="F28:G28"/>
    <mergeCell ref="I28:J28"/>
    <mergeCell ref="A35:H35"/>
    <mergeCell ref="I29:J29"/>
    <mergeCell ref="I30:J30"/>
    <mergeCell ref="I31:J31"/>
    <mergeCell ref="I32:J32"/>
    <mergeCell ref="I33:J33"/>
    <mergeCell ref="A36:H36"/>
    <mergeCell ref="A28:C28"/>
    <mergeCell ref="A29:C29"/>
    <mergeCell ref="A30:C30"/>
    <mergeCell ref="A31:C31"/>
    <mergeCell ref="A32:C32"/>
    <mergeCell ref="A33:C33"/>
    <mergeCell ref="A34:C34"/>
  </mergeCells>
  <pageMargins left="0.55118110236220474" right="0.27559055118110237" top="0.59055118110236227" bottom="0.59055118110236227" header="0" footer="0"/>
  <pageSetup paperSize="9" scale="95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3C66"/>
  </sheetPr>
  <dimension ref="A1:Z1000"/>
  <sheetViews>
    <sheetView showGridLines="0" workbookViewId="0"/>
  </sheetViews>
  <sheetFormatPr defaultColWidth="14.44140625" defaultRowHeight="15" customHeight="1"/>
  <cols>
    <col min="1" max="1" width="17.44140625" customWidth="1"/>
    <col min="2" max="2" width="9.88671875" customWidth="1"/>
    <col min="3" max="3" width="8.88671875" customWidth="1"/>
    <col min="4" max="4" width="14" customWidth="1"/>
    <col min="5" max="5" width="7.5546875" customWidth="1"/>
    <col min="6" max="6" width="11.5546875" customWidth="1"/>
    <col min="7" max="7" width="15.88671875" customWidth="1"/>
    <col min="8" max="8" width="12.88671875" customWidth="1"/>
    <col min="9" max="9" width="11.44140625" customWidth="1"/>
    <col min="10" max="10" width="15.6640625" customWidth="1"/>
    <col min="11" max="11" width="6.44140625" customWidth="1"/>
    <col min="12" max="12" width="11.5546875" customWidth="1"/>
    <col min="13" max="13" width="11" customWidth="1"/>
    <col min="14" max="26" width="9.109375" customWidth="1"/>
  </cols>
  <sheetData>
    <row r="1" spans="1:26" ht="12.75" customHeight="1">
      <c r="A1" s="1"/>
      <c r="B1" s="1"/>
      <c r="C1" s="1"/>
      <c r="D1" s="17"/>
      <c r="E1" s="35"/>
      <c r="F1" s="18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27" t="s">
        <v>300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3"/>
      <c r="B5" s="3"/>
      <c r="C5" s="3"/>
      <c r="D5" s="52"/>
      <c r="E5" s="53"/>
      <c r="F5" s="20"/>
      <c r="G5" s="4"/>
      <c r="H5" s="4"/>
      <c r="I5" s="4"/>
      <c r="J5" s="4"/>
      <c r="K5" s="4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5"/>
      <c r="B6" s="5"/>
      <c r="C6" s="5"/>
      <c r="D6" s="54"/>
      <c r="E6" s="55"/>
      <c r="F6" s="18"/>
      <c r="G6" s="1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6" t="s">
        <v>1</v>
      </c>
      <c r="B7" s="129" t="s">
        <v>2</v>
      </c>
      <c r="C7" s="120"/>
      <c r="D7" s="120"/>
      <c r="E7" s="120"/>
      <c r="F7" s="120"/>
      <c r="G7" s="120"/>
      <c r="H7" s="120"/>
      <c r="I7" s="120"/>
      <c r="J7" s="120"/>
      <c r="K7" s="12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6" t="s">
        <v>3</v>
      </c>
      <c r="B8" s="130" t="s">
        <v>4</v>
      </c>
      <c r="C8" s="120"/>
      <c r="D8" s="120"/>
      <c r="E8" s="120"/>
      <c r="F8" s="120"/>
      <c r="G8" s="120"/>
      <c r="H8" s="120"/>
      <c r="I8" s="120"/>
      <c r="J8" s="120"/>
      <c r="K8" s="12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6" t="s">
        <v>5</v>
      </c>
      <c r="B9" s="130" t="s">
        <v>6</v>
      </c>
      <c r="C9" s="120"/>
      <c r="D9" s="120"/>
      <c r="E9" s="120"/>
      <c r="F9" s="120"/>
      <c r="G9" s="120"/>
      <c r="H9" s="120"/>
      <c r="I9" s="120"/>
      <c r="J9" s="120"/>
      <c r="K9" s="1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7" t="s">
        <v>7</v>
      </c>
      <c r="B10" s="131">
        <v>45266</v>
      </c>
      <c r="C10" s="120"/>
      <c r="D10" s="121"/>
      <c r="E10" s="8" t="s">
        <v>8</v>
      </c>
      <c r="F10" s="9" t="s">
        <v>9</v>
      </c>
      <c r="G10" s="10" t="s">
        <v>10</v>
      </c>
      <c r="H10" s="9" t="s">
        <v>11</v>
      </c>
      <c r="I10" s="10" t="s">
        <v>12</v>
      </c>
      <c r="J10" s="132" t="s">
        <v>13</v>
      </c>
      <c r="K10" s="1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"/>
      <c r="C11" s="1"/>
      <c r="D11" s="17"/>
      <c r="E11" s="35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1" t="s">
        <v>78</v>
      </c>
      <c r="B12" s="22"/>
      <c r="C12" s="22"/>
      <c r="D12" s="56"/>
      <c r="E12" s="36"/>
      <c r="F12" s="23"/>
      <c r="G12" s="22"/>
      <c r="H12" s="22"/>
      <c r="I12" s="22"/>
      <c r="J12" s="22"/>
      <c r="K12" s="24"/>
      <c r="L12" s="1" t="s">
        <v>20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5"/>
      <c r="B13" s="26"/>
      <c r="C13" s="26"/>
      <c r="D13" s="57"/>
      <c r="E13" s="58"/>
      <c r="F13" s="26"/>
      <c r="G13" s="26"/>
      <c r="H13" s="26"/>
      <c r="I13" s="1"/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44" t="s">
        <v>14</v>
      </c>
      <c r="B14" s="134"/>
      <c r="C14" s="145"/>
      <c r="D14" s="162" t="s">
        <v>86</v>
      </c>
      <c r="E14" s="135"/>
      <c r="F14" s="143" t="s">
        <v>87</v>
      </c>
      <c r="G14" s="135"/>
      <c r="H14" s="59" t="s">
        <v>88</v>
      </c>
      <c r="I14" s="143" t="s">
        <v>62</v>
      </c>
      <c r="J14" s="135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50" t="s">
        <v>301</v>
      </c>
      <c r="B15" s="151"/>
      <c r="C15" s="152"/>
      <c r="D15" s="77">
        <v>1</v>
      </c>
      <c r="E15" s="77" t="s">
        <v>125</v>
      </c>
      <c r="F15" s="97">
        <v>2700</v>
      </c>
      <c r="G15" s="98" t="s">
        <v>302</v>
      </c>
      <c r="H15" s="99" t="s">
        <v>97</v>
      </c>
      <c r="I15" s="153">
        <f>D15*F15*'Dados Gerais'!$E$22</f>
        <v>5484753</v>
      </c>
      <c r="J15" s="152"/>
      <c r="K15" s="2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48" t="s">
        <v>303</v>
      </c>
      <c r="B16" s="137"/>
      <c r="C16" s="138"/>
      <c r="D16" s="78">
        <v>1</v>
      </c>
      <c r="E16" s="78" t="s">
        <v>125</v>
      </c>
      <c r="F16" s="100">
        <v>35</v>
      </c>
      <c r="G16" s="101" t="s">
        <v>175</v>
      </c>
      <c r="H16" s="92" t="s">
        <v>97</v>
      </c>
      <c r="I16" s="136">
        <f>D16*F16*'Dados Gerais'!$E$15</f>
        <v>1838061.4000000001</v>
      </c>
      <c r="J16" s="138"/>
      <c r="K16" s="27"/>
      <c r="L16" s="1"/>
      <c r="M16" s="17"/>
      <c r="N16" s="1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48" t="s">
        <v>304</v>
      </c>
      <c r="B17" s="137"/>
      <c r="C17" s="138"/>
      <c r="D17" s="78">
        <v>1</v>
      </c>
      <c r="E17" s="78" t="s">
        <v>125</v>
      </c>
      <c r="F17" s="100">
        <v>30</v>
      </c>
      <c r="G17" s="101" t="s">
        <v>175</v>
      </c>
      <c r="H17" s="92" t="s">
        <v>97</v>
      </c>
      <c r="I17" s="136">
        <f>D17*F17*'Dados Gerais'!$E$15</f>
        <v>1575481.2</v>
      </c>
      <c r="J17" s="138"/>
      <c r="K17" s="27"/>
      <c r="L17" s="1"/>
      <c r="M17" s="1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48" t="s">
        <v>305</v>
      </c>
      <c r="B18" s="137"/>
      <c r="C18" s="138"/>
      <c r="D18" s="78">
        <v>1</v>
      </c>
      <c r="E18" s="78" t="s">
        <v>125</v>
      </c>
      <c r="F18" s="100">
        <v>10</v>
      </c>
      <c r="G18" s="101" t="s">
        <v>175</v>
      </c>
      <c r="H18" s="92" t="s">
        <v>97</v>
      </c>
      <c r="I18" s="136">
        <f>D18*F18*'Dados Gerais'!$E$15</f>
        <v>525160.4</v>
      </c>
      <c r="J18" s="138"/>
      <c r="K18" s="2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48" t="s">
        <v>306</v>
      </c>
      <c r="B19" s="137"/>
      <c r="C19" s="138"/>
      <c r="D19" s="78">
        <v>1</v>
      </c>
      <c r="E19" s="78" t="s">
        <v>125</v>
      </c>
      <c r="F19" s="100">
        <v>7</v>
      </c>
      <c r="G19" s="101" t="s">
        <v>175</v>
      </c>
      <c r="H19" s="92" t="s">
        <v>97</v>
      </c>
      <c r="I19" s="136">
        <f>D19*F19*'Dados Gerais'!$E$15</f>
        <v>367612.28</v>
      </c>
      <c r="J19" s="138"/>
      <c r="K19" s="2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64" t="s">
        <v>307</v>
      </c>
      <c r="B20" s="157"/>
      <c r="C20" s="158"/>
      <c r="D20" s="78">
        <v>1</v>
      </c>
      <c r="E20" s="78" t="s">
        <v>125</v>
      </c>
      <c r="F20" s="100">
        <v>15</v>
      </c>
      <c r="G20" s="109" t="s">
        <v>175</v>
      </c>
      <c r="H20" s="92" t="s">
        <v>97</v>
      </c>
      <c r="I20" s="136">
        <f>D20*F20*'Dados Gerais'!$E$15</f>
        <v>787740.6</v>
      </c>
      <c r="J20" s="138"/>
      <c r="K20" s="2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33" t="s">
        <v>63</v>
      </c>
      <c r="B21" s="134"/>
      <c r="C21" s="134"/>
      <c r="D21" s="134"/>
      <c r="E21" s="134"/>
      <c r="F21" s="134"/>
      <c r="G21" s="134"/>
      <c r="H21" s="135"/>
      <c r="I21" s="139">
        <f>SUM(I15:J20)</f>
        <v>10578808.879999999</v>
      </c>
      <c r="J21" s="135"/>
      <c r="K21" s="3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49"/>
      <c r="B22" s="134"/>
      <c r="C22" s="134"/>
      <c r="D22" s="134"/>
      <c r="E22" s="134"/>
      <c r="F22" s="134"/>
      <c r="G22" s="134"/>
      <c r="H22" s="134"/>
      <c r="I22" s="43"/>
      <c r="J22" s="33"/>
      <c r="K22" s="3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7"/>
      <c r="E23" s="35"/>
      <c r="F23" s="18"/>
      <c r="G23" s="1"/>
      <c r="H23" s="1"/>
      <c r="I23" s="1"/>
      <c r="J23" s="1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7"/>
      <c r="E24" s="35"/>
      <c r="F24" s="18"/>
      <c r="G24" s="1"/>
      <c r="H24" s="1"/>
      <c r="I24" s="1"/>
      <c r="J24" s="17">
        <f>I21</f>
        <v>10578808.879999999</v>
      </c>
      <c r="K24" s="80">
        <f>J24/'Dados Gerais'!E15</f>
        <v>201.43957693687489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7"/>
      <c r="E25" s="35"/>
      <c r="F25" s="1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7"/>
      <c r="E26" s="35"/>
      <c r="F26" s="1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7"/>
      <c r="E27" s="35"/>
      <c r="F27" s="1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7"/>
      <c r="E28" s="35"/>
      <c r="F28" s="1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7"/>
      <c r="E29" s="35"/>
      <c r="F29" s="1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7"/>
      <c r="E30" s="35"/>
      <c r="F30" s="1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7"/>
      <c r="E31" s="35"/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7"/>
      <c r="E32" s="35"/>
      <c r="F32" s="1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7"/>
      <c r="E33" s="35"/>
      <c r="F33" s="1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7"/>
      <c r="E34" s="35"/>
      <c r="F34" s="1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7"/>
      <c r="E35" s="35"/>
      <c r="F35" s="1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7"/>
      <c r="E36" s="35"/>
      <c r="F36" s="1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7"/>
      <c r="E37" s="35"/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7"/>
      <c r="E38" s="35"/>
      <c r="F38" s="1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7"/>
      <c r="E39" s="35"/>
      <c r="F39" s="1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7"/>
      <c r="E40" s="35"/>
      <c r="F40" s="1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7"/>
      <c r="E41" s="35"/>
      <c r="F41" s="1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7"/>
      <c r="E42" s="35"/>
      <c r="F42" s="1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7"/>
      <c r="E43" s="35"/>
      <c r="F43" s="1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7"/>
      <c r="E44" s="35"/>
      <c r="F44" s="1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7"/>
      <c r="E45" s="35"/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7"/>
      <c r="E46" s="35"/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7"/>
      <c r="E47" s="35"/>
      <c r="F47" s="1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7"/>
      <c r="E48" s="35"/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7"/>
      <c r="E49" s="35"/>
      <c r="F49" s="1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7"/>
      <c r="E50" s="35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7"/>
      <c r="E51" s="35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7"/>
      <c r="E52" s="35"/>
      <c r="F52" s="1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7"/>
      <c r="E53" s="35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7"/>
      <c r="E54" s="35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7"/>
      <c r="E55" s="35"/>
      <c r="F55" s="1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7"/>
      <c r="E56" s="35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7"/>
      <c r="E57" s="35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7"/>
      <c r="E58" s="35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7"/>
      <c r="E59" s="35"/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7"/>
      <c r="E60" s="35"/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7"/>
      <c r="E61" s="35"/>
      <c r="F61" s="1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7"/>
      <c r="E62" s="35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7"/>
      <c r="E63" s="35"/>
      <c r="F63" s="1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7"/>
      <c r="E64" s="35"/>
      <c r="F64" s="1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7"/>
      <c r="E65" s="35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7"/>
      <c r="E66" s="35"/>
      <c r="F66" s="1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7"/>
      <c r="E67" s="35"/>
      <c r="F67" s="1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7"/>
      <c r="E68" s="35"/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7"/>
      <c r="E69" s="35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7"/>
      <c r="E70" s="35"/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7"/>
      <c r="E71" s="35"/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7"/>
      <c r="E72" s="35"/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7"/>
      <c r="E73" s="35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7"/>
      <c r="E74" s="35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7"/>
      <c r="E75" s="35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7"/>
      <c r="E76" s="35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7"/>
      <c r="E77" s="35"/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7"/>
      <c r="E78" s="35"/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7"/>
      <c r="E79" s="35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7"/>
      <c r="E80" s="35"/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7"/>
      <c r="E81" s="35"/>
      <c r="F81" s="1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7"/>
      <c r="E82" s="35"/>
      <c r="F82" s="1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7"/>
      <c r="E83" s="35"/>
      <c r="F83" s="1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7"/>
      <c r="E84" s="35"/>
      <c r="F84" s="1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7"/>
      <c r="E85" s="35"/>
      <c r="F85" s="1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7"/>
      <c r="E86" s="35"/>
      <c r="F86" s="1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7"/>
      <c r="E87" s="35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7"/>
      <c r="E88" s="35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7"/>
      <c r="E89" s="35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7"/>
      <c r="E90" s="35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7"/>
      <c r="E91" s="35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7"/>
      <c r="E92" s="35"/>
      <c r="F92" s="1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7"/>
      <c r="E93" s="35"/>
      <c r="F93" s="1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7"/>
      <c r="E94" s="35"/>
      <c r="F94" s="1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7"/>
      <c r="E95" s="35"/>
      <c r="F95" s="1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7"/>
      <c r="E96" s="35"/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7"/>
      <c r="E97" s="35"/>
      <c r="F97" s="1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7"/>
      <c r="E98" s="35"/>
      <c r="F98" s="1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7"/>
      <c r="E99" s="35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7"/>
      <c r="E100" s="35"/>
      <c r="F100" s="1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7"/>
      <c r="E101" s="35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7"/>
      <c r="E102" s="35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7"/>
      <c r="E103" s="35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7"/>
      <c r="E104" s="35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7"/>
      <c r="E105" s="35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7"/>
      <c r="E106" s="35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7"/>
      <c r="E107" s="35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7"/>
      <c r="E108" s="35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7"/>
      <c r="E109" s="35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7"/>
      <c r="E110" s="35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7"/>
      <c r="E111" s="35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7"/>
      <c r="E112" s="35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7"/>
      <c r="E113" s="35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7"/>
      <c r="E114" s="35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7"/>
      <c r="E115" s="35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7"/>
      <c r="E116" s="35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7"/>
      <c r="E117" s="35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7"/>
      <c r="E118" s="35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7"/>
      <c r="E119" s="35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7"/>
      <c r="E120" s="35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7"/>
      <c r="E121" s="35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7"/>
      <c r="E122" s="35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7"/>
      <c r="E123" s="35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7"/>
      <c r="E124" s="35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7"/>
      <c r="E125" s="35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7"/>
      <c r="E126" s="35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7"/>
      <c r="E127" s="35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7"/>
      <c r="E128" s="35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7"/>
      <c r="E129" s="35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7"/>
      <c r="E130" s="35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7"/>
      <c r="E131" s="35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7"/>
      <c r="E132" s="35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7"/>
      <c r="E133" s="35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7"/>
      <c r="E134" s="35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7"/>
      <c r="E135" s="35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7"/>
      <c r="E136" s="35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7"/>
      <c r="E137" s="35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7"/>
      <c r="E138" s="35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7"/>
      <c r="E139" s="35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7"/>
      <c r="E140" s="35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7"/>
      <c r="E141" s="35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7"/>
      <c r="E142" s="35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7"/>
      <c r="E143" s="35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7"/>
      <c r="E144" s="35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7"/>
      <c r="E145" s="35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7"/>
      <c r="E146" s="35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7"/>
      <c r="E147" s="35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7"/>
      <c r="E148" s="35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7"/>
      <c r="E149" s="35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7"/>
      <c r="E150" s="35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7"/>
      <c r="E151" s="35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7"/>
      <c r="E152" s="35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7"/>
      <c r="E153" s="35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7"/>
      <c r="E154" s="35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7"/>
      <c r="E155" s="35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7"/>
      <c r="E156" s="35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7"/>
      <c r="E157" s="35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7"/>
      <c r="E158" s="35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7"/>
      <c r="E159" s="35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7"/>
      <c r="E160" s="35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7"/>
      <c r="E161" s="35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7"/>
      <c r="E162" s="35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7"/>
      <c r="E163" s="35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7"/>
      <c r="E164" s="35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7"/>
      <c r="E165" s="35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7"/>
      <c r="E166" s="35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7"/>
      <c r="E167" s="35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7"/>
      <c r="E168" s="35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7"/>
      <c r="E169" s="35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7"/>
      <c r="E170" s="35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7"/>
      <c r="E171" s="35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7"/>
      <c r="E172" s="35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7"/>
      <c r="E173" s="35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7"/>
      <c r="E174" s="35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7"/>
      <c r="E175" s="35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7"/>
      <c r="E176" s="35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7"/>
      <c r="E177" s="35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7"/>
      <c r="E178" s="35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7"/>
      <c r="E179" s="35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7"/>
      <c r="E180" s="35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7"/>
      <c r="E181" s="35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7"/>
      <c r="E182" s="35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7"/>
      <c r="E183" s="35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7"/>
      <c r="E184" s="35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7"/>
      <c r="E185" s="35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7"/>
      <c r="E186" s="35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7"/>
      <c r="E187" s="35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7"/>
      <c r="E188" s="35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7"/>
      <c r="E189" s="35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7"/>
      <c r="E190" s="35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7"/>
      <c r="E191" s="35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7"/>
      <c r="E192" s="35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7"/>
      <c r="E193" s="35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7"/>
      <c r="E194" s="35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7"/>
      <c r="E195" s="35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7"/>
      <c r="E196" s="35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7"/>
      <c r="E197" s="35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7"/>
      <c r="E198" s="35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7"/>
      <c r="E199" s="35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7"/>
      <c r="E200" s="35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7"/>
      <c r="E201" s="35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7"/>
      <c r="E202" s="35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7"/>
      <c r="E203" s="35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7"/>
      <c r="E204" s="35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7"/>
      <c r="E205" s="35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7"/>
      <c r="E206" s="35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7"/>
      <c r="E207" s="35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7"/>
      <c r="E208" s="35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7"/>
      <c r="E209" s="35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7"/>
      <c r="E210" s="35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7"/>
      <c r="E211" s="35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7"/>
      <c r="E212" s="35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7"/>
      <c r="E213" s="35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7"/>
      <c r="E214" s="35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7"/>
      <c r="E215" s="35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7"/>
      <c r="E216" s="35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7"/>
      <c r="E217" s="35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7"/>
      <c r="E218" s="35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7"/>
      <c r="E219" s="35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7"/>
      <c r="E220" s="35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7"/>
      <c r="E221" s="35"/>
      <c r="F221" s="1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7"/>
      <c r="E222" s="35"/>
      <c r="F222" s="1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7"/>
      <c r="E223" s="35"/>
      <c r="F223" s="1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7"/>
      <c r="E224" s="35"/>
      <c r="F224" s="1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7"/>
      <c r="E225" s="35"/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7"/>
      <c r="E226" s="35"/>
      <c r="F226" s="1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7"/>
      <c r="E227" s="35"/>
      <c r="F227" s="1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7"/>
      <c r="E228" s="35"/>
      <c r="F228" s="1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7"/>
      <c r="E229" s="35"/>
      <c r="F229" s="1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7"/>
      <c r="E230" s="35"/>
      <c r="F230" s="1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7"/>
      <c r="E231" s="35"/>
      <c r="F231" s="1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7"/>
      <c r="E232" s="35"/>
      <c r="F232" s="1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7"/>
      <c r="E233" s="35"/>
      <c r="F233" s="1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7"/>
      <c r="E234" s="35"/>
      <c r="F234" s="1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7"/>
      <c r="E235" s="35"/>
      <c r="F235" s="1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7"/>
      <c r="E236" s="35"/>
      <c r="F236" s="1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7"/>
      <c r="E237" s="35"/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7"/>
      <c r="E238" s="35"/>
      <c r="F238" s="1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7"/>
      <c r="E239" s="35"/>
      <c r="F239" s="1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7"/>
      <c r="E240" s="35"/>
      <c r="F240" s="1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7"/>
      <c r="E241" s="35"/>
      <c r="F241" s="1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7"/>
      <c r="E242" s="35"/>
      <c r="F242" s="1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7"/>
      <c r="E243" s="35"/>
      <c r="F243" s="1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7"/>
      <c r="E244" s="35"/>
      <c r="F244" s="1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7"/>
      <c r="E245" s="35"/>
      <c r="F245" s="1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7"/>
      <c r="E246" s="35"/>
      <c r="F246" s="1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7"/>
      <c r="E247" s="35"/>
      <c r="F247" s="1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7"/>
      <c r="E248" s="35"/>
      <c r="F248" s="1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7"/>
      <c r="E249" s="35"/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7"/>
      <c r="E250" s="35"/>
      <c r="F250" s="1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7"/>
      <c r="E251" s="35"/>
      <c r="F251" s="1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7"/>
      <c r="E252" s="35"/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7"/>
      <c r="E253" s="35"/>
      <c r="F253" s="1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7"/>
      <c r="E254" s="35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7"/>
      <c r="E255" s="35"/>
      <c r="F255" s="1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7"/>
      <c r="E256" s="35"/>
      <c r="F256" s="1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7"/>
      <c r="E257" s="35"/>
      <c r="F257" s="1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7"/>
      <c r="E258" s="35"/>
      <c r="F258" s="1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7"/>
      <c r="E259" s="35"/>
      <c r="F259" s="1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7"/>
      <c r="E260" s="35"/>
      <c r="F260" s="1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7"/>
      <c r="E261" s="35"/>
      <c r="F261" s="1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7"/>
      <c r="E262" s="35"/>
      <c r="F262" s="1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7"/>
      <c r="E263" s="35"/>
      <c r="F263" s="1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7"/>
      <c r="E264" s="35"/>
      <c r="F264" s="1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7"/>
      <c r="E265" s="35"/>
      <c r="F265" s="1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7"/>
      <c r="E266" s="35"/>
      <c r="F266" s="1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7"/>
      <c r="E267" s="35"/>
      <c r="F267" s="1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7"/>
      <c r="E268" s="35"/>
      <c r="F268" s="1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7"/>
      <c r="E269" s="35"/>
      <c r="F269" s="1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7"/>
      <c r="E270" s="35"/>
      <c r="F270" s="1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7"/>
      <c r="E271" s="35"/>
      <c r="F271" s="1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7"/>
      <c r="E272" s="35"/>
      <c r="F272" s="1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7"/>
      <c r="E273" s="35"/>
      <c r="F273" s="1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7"/>
      <c r="E274" s="35"/>
      <c r="F274" s="1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7"/>
      <c r="E275" s="35"/>
      <c r="F275" s="1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7"/>
      <c r="E276" s="35"/>
      <c r="F276" s="1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7"/>
      <c r="E277" s="35"/>
      <c r="F277" s="1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7"/>
      <c r="E278" s="35"/>
      <c r="F278" s="1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7"/>
      <c r="E279" s="35"/>
      <c r="F279" s="1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7"/>
      <c r="E280" s="35"/>
      <c r="F280" s="1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7"/>
      <c r="E281" s="35"/>
      <c r="F281" s="1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7"/>
      <c r="E282" s="35"/>
      <c r="F282" s="1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7"/>
      <c r="E283" s="35"/>
      <c r="F283" s="1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7"/>
      <c r="E284" s="35"/>
      <c r="F284" s="1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7"/>
      <c r="E285" s="35"/>
      <c r="F285" s="1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7"/>
      <c r="E286" s="35"/>
      <c r="F286" s="1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7"/>
      <c r="E287" s="35"/>
      <c r="F287" s="1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7"/>
      <c r="E288" s="35"/>
      <c r="F288" s="1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7"/>
      <c r="E289" s="35"/>
      <c r="F289" s="1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7"/>
      <c r="E290" s="35"/>
      <c r="F290" s="1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7"/>
      <c r="E291" s="35"/>
      <c r="F291" s="1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7"/>
      <c r="E292" s="35"/>
      <c r="F292" s="1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7"/>
      <c r="E293" s="35"/>
      <c r="F293" s="1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7"/>
      <c r="E294" s="35"/>
      <c r="F294" s="1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7"/>
      <c r="E295" s="35"/>
      <c r="F295" s="1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7"/>
      <c r="E296" s="35"/>
      <c r="F296" s="1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7"/>
      <c r="E297" s="35"/>
      <c r="F297" s="1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7"/>
      <c r="E298" s="35"/>
      <c r="F298" s="1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7"/>
      <c r="E299" s="35"/>
      <c r="F299" s="1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7"/>
      <c r="E300" s="35"/>
      <c r="F300" s="1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7"/>
      <c r="E301" s="35"/>
      <c r="F301" s="1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7"/>
      <c r="E302" s="35"/>
      <c r="F302" s="1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7"/>
      <c r="E303" s="35"/>
      <c r="F303" s="1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7"/>
      <c r="E304" s="35"/>
      <c r="F304" s="1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7"/>
      <c r="E305" s="35"/>
      <c r="F305" s="1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7"/>
      <c r="E306" s="35"/>
      <c r="F306" s="1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7"/>
      <c r="E307" s="35"/>
      <c r="F307" s="1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7"/>
      <c r="E308" s="35"/>
      <c r="F308" s="1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7"/>
      <c r="E309" s="35"/>
      <c r="F309" s="1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7"/>
      <c r="E310" s="35"/>
      <c r="F310" s="1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7"/>
      <c r="E311" s="35"/>
      <c r="F311" s="1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7"/>
      <c r="E312" s="35"/>
      <c r="F312" s="1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7"/>
      <c r="E313" s="35"/>
      <c r="F313" s="1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7"/>
      <c r="E314" s="35"/>
      <c r="F314" s="1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7"/>
      <c r="E315" s="35"/>
      <c r="F315" s="1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7"/>
      <c r="E316" s="35"/>
      <c r="F316" s="1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7"/>
      <c r="E317" s="35"/>
      <c r="F317" s="1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7"/>
      <c r="E318" s="35"/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7"/>
      <c r="E319" s="35"/>
      <c r="F319" s="1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7"/>
      <c r="E320" s="35"/>
      <c r="F320" s="1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7"/>
      <c r="E321" s="35"/>
      <c r="F321" s="1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7"/>
      <c r="E322" s="35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7"/>
      <c r="E323" s="35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7"/>
      <c r="E324" s="35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7"/>
      <c r="E325" s="35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7"/>
      <c r="E326" s="35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7"/>
      <c r="E327" s="35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7"/>
      <c r="E328" s="35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7"/>
      <c r="E329" s="35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7"/>
      <c r="E330" s="35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7"/>
      <c r="E331" s="35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7"/>
      <c r="E332" s="35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7"/>
      <c r="E333" s="35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7"/>
      <c r="E334" s="35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7"/>
      <c r="E335" s="35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7"/>
      <c r="E336" s="35"/>
      <c r="F336" s="1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7"/>
      <c r="E337" s="35"/>
      <c r="F337" s="1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7"/>
      <c r="E338" s="35"/>
      <c r="F338" s="1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7"/>
      <c r="E339" s="35"/>
      <c r="F339" s="1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7"/>
      <c r="E340" s="35"/>
      <c r="F340" s="1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7"/>
      <c r="E341" s="35"/>
      <c r="F341" s="1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7"/>
      <c r="E342" s="35"/>
      <c r="F342" s="1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7"/>
      <c r="E343" s="35"/>
      <c r="F343" s="1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7"/>
      <c r="E344" s="35"/>
      <c r="F344" s="1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7"/>
      <c r="E345" s="35"/>
      <c r="F345" s="1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7"/>
      <c r="E346" s="35"/>
      <c r="F346" s="1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7"/>
      <c r="E347" s="35"/>
      <c r="F347" s="1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7"/>
      <c r="E348" s="35"/>
      <c r="F348" s="1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7"/>
      <c r="E349" s="35"/>
      <c r="F349" s="1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7"/>
      <c r="E350" s="35"/>
      <c r="F350" s="1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7"/>
      <c r="E351" s="35"/>
      <c r="F351" s="1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7"/>
      <c r="E352" s="35"/>
      <c r="F352" s="1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7"/>
      <c r="E353" s="35"/>
      <c r="F353" s="1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7"/>
      <c r="E354" s="35"/>
      <c r="F354" s="1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7"/>
      <c r="E355" s="35"/>
      <c r="F355" s="1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7"/>
      <c r="E356" s="35"/>
      <c r="F356" s="1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7"/>
      <c r="E357" s="35"/>
      <c r="F357" s="1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7"/>
      <c r="E358" s="35"/>
      <c r="F358" s="1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7"/>
      <c r="E359" s="35"/>
      <c r="F359" s="1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7"/>
      <c r="E360" s="35"/>
      <c r="F360" s="1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7"/>
      <c r="E361" s="35"/>
      <c r="F361" s="1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7"/>
      <c r="E362" s="35"/>
      <c r="F362" s="1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7"/>
      <c r="E363" s="35"/>
      <c r="F363" s="1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7"/>
      <c r="E364" s="35"/>
      <c r="F364" s="1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7"/>
      <c r="E365" s="35"/>
      <c r="F365" s="1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7"/>
      <c r="E366" s="35"/>
      <c r="F366" s="1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7"/>
      <c r="E367" s="35"/>
      <c r="F367" s="1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7"/>
      <c r="E368" s="35"/>
      <c r="F368" s="1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7"/>
      <c r="E369" s="35"/>
      <c r="F369" s="1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7"/>
      <c r="E370" s="35"/>
      <c r="F370" s="1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7"/>
      <c r="E371" s="35"/>
      <c r="F371" s="1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7"/>
      <c r="E372" s="35"/>
      <c r="F372" s="1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7"/>
      <c r="E373" s="35"/>
      <c r="F373" s="1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7"/>
      <c r="E374" s="35"/>
      <c r="F374" s="1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7"/>
      <c r="E375" s="35"/>
      <c r="F375" s="1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7"/>
      <c r="E376" s="35"/>
      <c r="F376" s="1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7"/>
      <c r="E377" s="35"/>
      <c r="F377" s="1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7"/>
      <c r="E378" s="35"/>
      <c r="F378" s="1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7"/>
      <c r="E379" s="35"/>
      <c r="F379" s="1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7"/>
      <c r="E380" s="35"/>
      <c r="F380" s="1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7"/>
      <c r="E381" s="35"/>
      <c r="F381" s="1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7"/>
      <c r="E382" s="35"/>
      <c r="F382" s="1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7"/>
      <c r="E383" s="35"/>
      <c r="F383" s="1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7"/>
      <c r="E384" s="35"/>
      <c r="F384" s="1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7"/>
      <c r="E385" s="35"/>
      <c r="F385" s="1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7"/>
      <c r="E386" s="35"/>
      <c r="F386" s="1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7"/>
      <c r="E387" s="35"/>
      <c r="F387" s="1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7"/>
      <c r="E388" s="35"/>
      <c r="F388" s="1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7"/>
      <c r="E389" s="35"/>
      <c r="F389" s="1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7"/>
      <c r="E390" s="35"/>
      <c r="F390" s="1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7"/>
      <c r="E391" s="35"/>
      <c r="F391" s="1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7"/>
      <c r="E392" s="35"/>
      <c r="F392" s="1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7"/>
      <c r="E393" s="35"/>
      <c r="F393" s="1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7"/>
      <c r="E394" s="35"/>
      <c r="F394" s="1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7"/>
      <c r="E395" s="35"/>
      <c r="F395" s="1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7"/>
      <c r="E396" s="35"/>
      <c r="F396" s="1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7"/>
      <c r="E397" s="35"/>
      <c r="F397" s="1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7"/>
      <c r="E398" s="35"/>
      <c r="F398" s="1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7"/>
      <c r="E399" s="35"/>
      <c r="F399" s="1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7"/>
      <c r="E400" s="35"/>
      <c r="F400" s="1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7"/>
      <c r="E401" s="35"/>
      <c r="F401" s="1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7"/>
      <c r="E402" s="35"/>
      <c r="F402" s="1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7"/>
      <c r="E403" s="35"/>
      <c r="F403" s="1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7"/>
      <c r="E404" s="35"/>
      <c r="F404" s="1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7"/>
      <c r="E405" s="35"/>
      <c r="F405" s="1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7"/>
      <c r="E406" s="35"/>
      <c r="F406" s="1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7"/>
      <c r="E407" s="35"/>
      <c r="F407" s="1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7"/>
      <c r="E408" s="35"/>
      <c r="F408" s="1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7"/>
      <c r="E409" s="35"/>
      <c r="F409" s="1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7"/>
      <c r="E410" s="35"/>
      <c r="F410" s="1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7"/>
      <c r="E411" s="35"/>
      <c r="F411" s="1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7"/>
      <c r="E412" s="35"/>
      <c r="F412" s="1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7"/>
      <c r="E413" s="35"/>
      <c r="F413" s="1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7"/>
      <c r="E414" s="35"/>
      <c r="F414" s="1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7"/>
      <c r="E415" s="35"/>
      <c r="F415" s="1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7"/>
      <c r="E416" s="35"/>
      <c r="F416" s="1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7"/>
      <c r="E417" s="35"/>
      <c r="F417" s="1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7"/>
      <c r="E418" s="35"/>
      <c r="F418" s="1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7"/>
      <c r="E419" s="35"/>
      <c r="F419" s="1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7"/>
      <c r="E420" s="35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7"/>
      <c r="E421" s="35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7"/>
      <c r="E422" s="35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7"/>
      <c r="E423" s="35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7"/>
      <c r="E424" s="35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7"/>
      <c r="E425" s="35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7"/>
      <c r="E426" s="35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7"/>
      <c r="E427" s="35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7"/>
      <c r="E428" s="35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7"/>
      <c r="E429" s="35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7"/>
      <c r="E430" s="35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7"/>
      <c r="E431" s="35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7"/>
      <c r="E432" s="35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7"/>
      <c r="E433" s="35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7"/>
      <c r="E434" s="35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7"/>
      <c r="E435" s="35"/>
      <c r="F435" s="1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7"/>
      <c r="E436" s="35"/>
      <c r="F436" s="1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7"/>
      <c r="E437" s="35"/>
      <c r="F437" s="1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7"/>
      <c r="E438" s="35"/>
      <c r="F438" s="1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7"/>
      <c r="E439" s="35"/>
      <c r="F439" s="1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7"/>
      <c r="E440" s="35"/>
      <c r="F440" s="1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7"/>
      <c r="E441" s="35"/>
      <c r="F441" s="1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7"/>
      <c r="E442" s="35"/>
      <c r="F442" s="1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7"/>
      <c r="E443" s="35"/>
      <c r="F443" s="1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7"/>
      <c r="E444" s="35"/>
      <c r="F444" s="1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7"/>
      <c r="E445" s="35"/>
      <c r="F445" s="1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7"/>
      <c r="E446" s="35"/>
      <c r="F446" s="1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7"/>
      <c r="E447" s="35"/>
      <c r="F447" s="1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7"/>
      <c r="E448" s="35"/>
      <c r="F448" s="1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7"/>
      <c r="E449" s="35"/>
      <c r="F449" s="1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7"/>
      <c r="E450" s="35"/>
      <c r="F450" s="1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7"/>
      <c r="E451" s="35"/>
      <c r="F451" s="1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7"/>
      <c r="E452" s="35"/>
      <c r="F452" s="1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7"/>
      <c r="E453" s="35"/>
      <c r="F453" s="1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7"/>
      <c r="E454" s="35"/>
      <c r="F454" s="1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7"/>
      <c r="E455" s="35"/>
      <c r="F455" s="1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7"/>
      <c r="E456" s="35"/>
      <c r="F456" s="1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7"/>
      <c r="E457" s="35"/>
      <c r="F457" s="1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7"/>
      <c r="E458" s="35"/>
      <c r="F458" s="1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7"/>
      <c r="E459" s="35"/>
      <c r="F459" s="1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7"/>
      <c r="E460" s="35"/>
      <c r="F460" s="1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7"/>
      <c r="E461" s="35"/>
      <c r="F461" s="1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7"/>
      <c r="E462" s="35"/>
      <c r="F462" s="1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7"/>
      <c r="E463" s="35"/>
      <c r="F463" s="1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7"/>
      <c r="E464" s="35"/>
      <c r="F464" s="1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7"/>
      <c r="E465" s="35"/>
      <c r="F465" s="1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7"/>
      <c r="E466" s="35"/>
      <c r="F466" s="1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7"/>
      <c r="E467" s="35"/>
      <c r="F467" s="1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7"/>
      <c r="E468" s="35"/>
      <c r="F468" s="1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7"/>
      <c r="E469" s="35"/>
      <c r="F469" s="1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7"/>
      <c r="E470" s="35"/>
      <c r="F470" s="1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7"/>
      <c r="E471" s="35"/>
      <c r="F471" s="1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7"/>
      <c r="E472" s="35"/>
      <c r="F472" s="1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7"/>
      <c r="E473" s="35"/>
      <c r="F473" s="1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7"/>
      <c r="E474" s="35"/>
      <c r="F474" s="1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7"/>
      <c r="E475" s="35"/>
      <c r="F475" s="1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7"/>
      <c r="E476" s="35"/>
      <c r="F476" s="1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7"/>
      <c r="E477" s="35"/>
      <c r="F477" s="1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7"/>
      <c r="E478" s="35"/>
      <c r="F478" s="1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7"/>
      <c r="E479" s="35"/>
      <c r="F479" s="1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7"/>
      <c r="E480" s="35"/>
      <c r="F480" s="1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7"/>
      <c r="E481" s="35"/>
      <c r="F481" s="1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7"/>
      <c r="E482" s="35"/>
      <c r="F482" s="1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7"/>
      <c r="E483" s="35"/>
      <c r="F483" s="1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7"/>
      <c r="E484" s="35"/>
      <c r="F484" s="1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7"/>
      <c r="E485" s="35"/>
      <c r="F485" s="1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7"/>
      <c r="E486" s="35"/>
      <c r="F486" s="1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7"/>
      <c r="E487" s="35"/>
      <c r="F487" s="1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7"/>
      <c r="E488" s="35"/>
      <c r="F488" s="1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7"/>
      <c r="E489" s="35"/>
      <c r="F489" s="1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7"/>
      <c r="E490" s="35"/>
      <c r="F490" s="1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7"/>
      <c r="E491" s="35"/>
      <c r="F491" s="1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7"/>
      <c r="E492" s="35"/>
      <c r="F492" s="1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7"/>
      <c r="E493" s="35"/>
      <c r="F493" s="1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7"/>
      <c r="E494" s="35"/>
      <c r="F494" s="1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7"/>
      <c r="E495" s="35"/>
      <c r="F495" s="1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7"/>
      <c r="E496" s="35"/>
      <c r="F496" s="1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7"/>
      <c r="E497" s="35"/>
      <c r="F497" s="1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7"/>
      <c r="E498" s="35"/>
      <c r="F498" s="1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7"/>
      <c r="E499" s="35"/>
      <c r="F499" s="1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7"/>
      <c r="E500" s="35"/>
      <c r="F500" s="1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7"/>
      <c r="E501" s="35"/>
      <c r="F501" s="1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7"/>
      <c r="E502" s="35"/>
      <c r="F502" s="1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7"/>
      <c r="E503" s="35"/>
      <c r="F503" s="1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7"/>
      <c r="E504" s="35"/>
      <c r="F504" s="1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7"/>
      <c r="E505" s="35"/>
      <c r="F505" s="1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7"/>
      <c r="E506" s="35"/>
      <c r="F506" s="1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7"/>
      <c r="E507" s="35"/>
      <c r="F507" s="1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7"/>
      <c r="E508" s="35"/>
      <c r="F508" s="1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7"/>
      <c r="E509" s="35"/>
      <c r="F509" s="1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7"/>
      <c r="E510" s="35"/>
      <c r="F510" s="1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7"/>
      <c r="E511" s="35"/>
      <c r="F511" s="1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7"/>
      <c r="E512" s="35"/>
      <c r="F512" s="1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7"/>
      <c r="E513" s="35"/>
      <c r="F513" s="1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7"/>
      <c r="E514" s="35"/>
      <c r="F514" s="1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7"/>
      <c r="E515" s="35"/>
      <c r="F515" s="1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7"/>
      <c r="E516" s="35"/>
      <c r="F516" s="1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7"/>
      <c r="E517" s="35"/>
      <c r="F517" s="1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7"/>
      <c r="E518" s="35"/>
      <c r="F518" s="1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7"/>
      <c r="E519" s="35"/>
      <c r="F519" s="1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7"/>
      <c r="E520" s="35"/>
      <c r="F520" s="1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7"/>
      <c r="E521" s="35"/>
      <c r="F521" s="1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7"/>
      <c r="E522" s="35"/>
      <c r="F522" s="1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7"/>
      <c r="E523" s="35"/>
      <c r="F523" s="1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7"/>
      <c r="E524" s="35"/>
      <c r="F524" s="1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7"/>
      <c r="E525" s="35"/>
      <c r="F525" s="1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7"/>
      <c r="E526" s="35"/>
      <c r="F526" s="1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7"/>
      <c r="E527" s="35"/>
      <c r="F527" s="1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7"/>
      <c r="E528" s="35"/>
      <c r="F528" s="1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7"/>
      <c r="E529" s="35"/>
      <c r="F529" s="1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7"/>
      <c r="E530" s="35"/>
      <c r="F530" s="1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7"/>
      <c r="E531" s="35"/>
      <c r="F531" s="1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7"/>
      <c r="E532" s="35"/>
      <c r="F532" s="1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7"/>
      <c r="E533" s="35"/>
      <c r="F533" s="1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7"/>
      <c r="E534" s="35"/>
      <c r="F534" s="1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7"/>
      <c r="E535" s="35"/>
      <c r="F535" s="1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7"/>
      <c r="E536" s="35"/>
      <c r="F536" s="1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7"/>
      <c r="E537" s="35"/>
      <c r="F537" s="1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7"/>
      <c r="E538" s="35"/>
      <c r="F538" s="1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7"/>
      <c r="E539" s="35"/>
      <c r="F539" s="1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7"/>
      <c r="E540" s="35"/>
      <c r="F540" s="1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7"/>
      <c r="E541" s="35"/>
      <c r="F541" s="1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7"/>
      <c r="E542" s="35"/>
      <c r="F542" s="1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7"/>
      <c r="E543" s="35"/>
      <c r="F543" s="1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7"/>
      <c r="E544" s="35"/>
      <c r="F544" s="1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7"/>
      <c r="E545" s="35"/>
      <c r="F545" s="1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7"/>
      <c r="E546" s="35"/>
      <c r="F546" s="1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7"/>
      <c r="E547" s="35"/>
      <c r="F547" s="1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7"/>
      <c r="E548" s="35"/>
      <c r="F548" s="1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7"/>
      <c r="E549" s="35"/>
      <c r="F549" s="1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7"/>
      <c r="E550" s="35"/>
      <c r="F550" s="1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7"/>
      <c r="E551" s="35"/>
      <c r="F551" s="1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7"/>
      <c r="E552" s="35"/>
      <c r="F552" s="1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7"/>
      <c r="E553" s="35"/>
      <c r="F553" s="1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7"/>
      <c r="E554" s="35"/>
      <c r="F554" s="1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7"/>
      <c r="E555" s="35"/>
      <c r="F555" s="1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7"/>
      <c r="E556" s="35"/>
      <c r="F556" s="1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7"/>
      <c r="E557" s="35"/>
      <c r="F557" s="1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7"/>
      <c r="E558" s="35"/>
      <c r="F558" s="1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7"/>
      <c r="E559" s="35"/>
      <c r="F559" s="1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7"/>
      <c r="E560" s="35"/>
      <c r="F560" s="1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7"/>
      <c r="E561" s="35"/>
      <c r="F561" s="1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7"/>
      <c r="E562" s="35"/>
      <c r="F562" s="1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7"/>
      <c r="E563" s="35"/>
      <c r="F563" s="1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7"/>
      <c r="E564" s="35"/>
      <c r="F564" s="1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7"/>
      <c r="E565" s="35"/>
      <c r="F565" s="1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7"/>
      <c r="E566" s="35"/>
      <c r="F566" s="1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7"/>
      <c r="E567" s="35"/>
      <c r="F567" s="1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7"/>
      <c r="E568" s="35"/>
      <c r="F568" s="1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7"/>
      <c r="E569" s="35"/>
      <c r="F569" s="1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7"/>
      <c r="E570" s="35"/>
      <c r="F570" s="1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7"/>
      <c r="E571" s="35"/>
      <c r="F571" s="1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7"/>
      <c r="E572" s="35"/>
      <c r="F572" s="1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7"/>
      <c r="E573" s="35"/>
      <c r="F573" s="1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7"/>
      <c r="E574" s="35"/>
      <c r="F574" s="1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7"/>
      <c r="E575" s="35"/>
      <c r="F575" s="1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7"/>
      <c r="E576" s="35"/>
      <c r="F576" s="1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7"/>
      <c r="E577" s="35"/>
      <c r="F577" s="1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7"/>
      <c r="E578" s="35"/>
      <c r="F578" s="1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7"/>
      <c r="E579" s="35"/>
      <c r="F579" s="1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7"/>
      <c r="E580" s="35"/>
      <c r="F580" s="1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7"/>
      <c r="E581" s="35"/>
      <c r="F581" s="1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7"/>
      <c r="E582" s="35"/>
      <c r="F582" s="1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7"/>
      <c r="E583" s="35"/>
      <c r="F583" s="1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7"/>
      <c r="E584" s="35"/>
      <c r="F584" s="1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7"/>
      <c r="E585" s="35"/>
      <c r="F585" s="1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7"/>
      <c r="E586" s="35"/>
      <c r="F586" s="1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7"/>
      <c r="E587" s="35"/>
      <c r="F587" s="1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7"/>
      <c r="E588" s="35"/>
      <c r="F588" s="1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7"/>
      <c r="E589" s="35"/>
      <c r="F589" s="1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7"/>
      <c r="E590" s="35"/>
      <c r="F590" s="1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7"/>
      <c r="E591" s="35"/>
      <c r="F591" s="1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7"/>
      <c r="E592" s="35"/>
      <c r="F592" s="1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7"/>
      <c r="E593" s="35"/>
      <c r="F593" s="1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7"/>
      <c r="E594" s="35"/>
      <c r="F594" s="1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7"/>
      <c r="E595" s="35"/>
      <c r="F595" s="1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7"/>
      <c r="E596" s="35"/>
      <c r="F596" s="1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7"/>
      <c r="E597" s="35"/>
      <c r="F597" s="1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7"/>
      <c r="E598" s="35"/>
      <c r="F598" s="1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7"/>
      <c r="E599" s="35"/>
      <c r="F599" s="1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7"/>
      <c r="E600" s="35"/>
      <c r="F600" s="1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7"/>
      <c r="E601" s="35"/>
      <c r="F601" s="1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7"/>
      <c r="E602" s="35"/>
      <c r="F602" s="1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7"/>
      <c r="E603" s="35"/>
      <c r="F603" s="1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7"/>
      <c r="E604" s="35"/>
      <c r="F604" s="1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7"/>
      <c r="E605" s="35"/>
      <c r="F605" s="1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7"/>
      <c r="E606" s="35"/>
      <c r="F606" s="1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7"/>
      <c r="E607" s="35"/>
      <c r="F607" s="1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7"/>
      <c r="E608" s="35"/>
      <c r="F608" s="1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7"/>
      <c r="E609" s="35"/>
      <c r="F609" s="1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7"/>
      <c r="E610" s="35"/>
      <c r="F610" s="1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7"/>
      <c r="E611" s="35"/>
      <c r="F611" s="1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7"/>
      <c r="E612" s="35"/>
      <c r="F612" s="1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7"/>
      <c r="E613" s="35"/>
      <c r="F613" s="1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7"/>
      <c r="E614" s="35"/>
      <c r="F614" s="1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7"/>
      <c r="E615" s="35"/>
      <c r="F615" s="1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7"/>
      <c r="E616" s="35"/>
      <c r="F616" s="1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7"/>
      <c r="E617" s="35"/>
      <c r="F617" s="1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7"/>
      <c r="E618" s="35"/>
      <c r="F618" s="1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7"/>
      <c r="E619" s="35"/>
      <c r="F619" s="1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7"/>
      <c r="E620" s="35"/>
      <c r="F620" s="1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7"/>
      <c r="E621" s="35"/>
      <c r="F621" s="1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7"/>
      <c r="E622" s="35"/>
      <c r="F622" s="1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7"/>
      <c r="E623" s="35"/>
      <c r="F623" s="1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7"/>
      <c r="E624" s="35"/>
      <c r="F624" s="1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7"/>
      <c r="E625" s="35"/>
      <c r="F625" s="1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7"/>
      <c r="E626" s="35"/>
      <c r="F626" s="1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7"/>
      <c r="E627" s="35"/>
      <c r="F627" s="1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7"/>
      <c r="E628" s="35"/>
      <c r="F628" s="1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7"/>
      <c r="E629" s="35"/>
      <c r="F629" s="1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7"/>
      <c r="E630" s="35"/>
      <c r="F630" s="1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7"/>
      <c r="E631" s="35"/>
      <c r="F631" s="1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7"/>
      <c r="E632" s="35"/>
      <c r="F632" s="1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7"/>
      <c r="E633" s="35"/>
      <c r="F633" s="1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7"/>
      <c r="E634" s="35"/>
      <c r="F634" s="1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7"/>
      <c r="E635" s="35"/>
      <c r="F635" s="1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7"/>
      <c r="E636" s="35"/>
      <c r="F636" s="1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7"/>
      <c r="E637" s="35"/>
      <c r="F637" s="1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7"/>
      <c r="E638" s="35"/>
      <c r="F638" s="1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7"/>
      <c r="E639" s="35"/>
      <c r="F639" s="1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7"/>
      <c r="E640" s="35"/>
      <c r="F640" s="1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7"/>
      <c r="E641" s="35"/>
      <c r="F641" s="1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7"/>
      <c r="E642" s="35"/>
      <c r="F642" s="1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7"/>
      <c r="E643" s="35"/>
      <c r="F643" s="1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7"/>
      <c r="E644" s="35"/>
      <c r="F644" s="1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7"/>
      <c r="E645" s="35"/>
      <c r="F645" s="1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7"/>
      <c r="E646" s="35"/>
      <c r="F646" s="1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7"/>
      <c r="E647" s="35"/>
      <c r="F647" s="1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7"/>
      <c r="E648" s="35"/>
      <c r="F648" s="1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7"/>
      <c r="E649" s="35"/>
      <c r="F649" s="1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7"/>
      <c r="E650" s="35"/>
      <c r="F650" s="1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7"/>
      <c r="E651" s="35"/>
      <c r="F651" s="1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7"/>
      <c r="E652" s="35"/>
      <c r="F652" s="1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7"/>
      <c r="E653" s="35"/>
      <c r="F653" s="1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7"/>
      <c r="E654" s="35"/>
      <c r="F654" s="1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7"/>
      <c r="E655" s="35"/>
      <c r="F655" s="1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7"/>
      <c r="E656" s="35"/>
      <c r="F656" s="1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7"/>
      <c r="E657" s="35"/>
      <c r="F657" s="1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7"/>
      <c r="E658" s="35"/>
      <c r="F658" s="1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7"/>
      <c r="E659" s="35"/>
      <c r="F659" s="1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7"/>
      <c r="E660" s="35"/>
      <c r="F660" s="1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7"/>
      <c r="E661" s="35"/>
      <c r="F661" s="1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7"/>
      <c r="E662" s="35"/>
      <c r="F662" s="1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7"/>
      <c r="E663" s="35"/>
      <c r="F663" s="1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7"/>
      <c r="E664" s="35"/>
      <c r="F664" s="1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7"/>
      <c r="E665" s="35"/>
      <c r="F665" s="1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7"/>
      <c r="E666" s="35"/>
      <c r="F666" s="1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7"/>
      <c r="E667" s="35"/>
      <c r="F667" s="1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7"/>
      <c r="E668" s="35"/>
      <c r="F668" s="1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7"/>
      <c r="E669" s="35"/>
      <c r="F669" s="1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7"/>
      <c r="E670" s="35"/>
      <c r="F670" s="1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7"/>
      <c r="E671" s="35"/>
      <c r="F671" s="1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7"/>
      <c r="E672" s="35"/>
      <c r="F672" s="1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7"/>
      <c r="E673" s="35"/>
      <c r="F673" s="1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7"/>
      <c r="E674" s="35"/>
      <c r="F674" s="1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7"/>
      <c r="E675" s="35"/>
      <c r="F675" s="1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7"/>
      <c r="E676" s="35"/>
      <c r="F676" s="1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7"/>
      <c r="E677" s="35"/>
      <c r="F677" s="1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7"/>
      <c r="E678" s="35"/>
      <c r="F678" s="1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7"/>
      <c r="E679" s="35"/>
      <c r="F679" s="1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7"/>
      <c r="E680" s="35"/>
      <c r="F680" s="1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7"/>
      <c r="E681" s="35"/>
      <c r="F681" s="1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7"/>
      <c r="E682" s="35"/>
      <c r="F682" s="1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7"/>
      <c r="E683" s="35"/>
      <c r="F683" s="1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7"/>
      <c r="E684" s="35"/>
      <c r="F684" s="1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7"/>
      <c r="E685" s="35"/>
      <c r="F685" s="1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7"/>
      <c r="E686" s="35"/>
      <c r="F686" s="1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7"/>
      <c r="E687" s="35"/>
      <c r="F687" s="1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7"/>
      <c r="E688" s="35"/>
      <c r="F688" s="1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7"/>
      <c r="E689" s="35"/>
      <c r="F689" s="1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7"/>
      <c r="E690" s="35"/>
      <c r="F690" s="1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7"/>
      <c r="E691" s="35"/>
      <c r="F691" s="1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7"/>
      <c r="E692" s="35"/>
      <c r="F692" s="1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7"/>
      <c r="E693" s="35"/>
      <c r="F693" s="1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7"/>
      <c r="E694" s="35"/>
      <c r="F694" s="1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7"/>
      <c r="E695" s="35"/>
      <c r="F695" s="1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7"/>
      <c r="E696" s="35"/>
      <c r="F696" s="1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7"/>
      <c r="E697" s="35"/>
      <c r="F697" s="1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7"/>
      <c r="E698" s="35"/>
      <c r="F698" s="1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7"/>
      <c r="E699" s="35"/>
      <c r="F699" s="1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7"/>
      <c r="E700" s="35"/>
      <c r="F700" s="1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7"/>
      <c r="E701" s="35"/>
      <c r="F701" s="1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7"/>
      <c r="E702" s="35"/>
      <c r="F702" s="1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7"/>
      <c r="E703" s="35"/>
      <c r="F703" s="1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7"/>
      <c r="E704" s="35"/>
      <c r="F704" s="1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7"/>
      <c r="E705" s="35"/>
      <c r="F705" s="1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7"/>
      <c r="E706" s="35"/>
      <c r="F706" s="1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7"/>
      <c r="E707" s="35"/>
      <c r="F707" s="1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7"/>
      <c r="E708" s="35"/>
      <c r="F708" s="1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7"/>
      <c r="E709" s="35"/>
      <c r="F709" s="1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7"/>
      <c r="E710" s="35"/>
      <c r="F710" s="1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7"/>
      <c r="E711" s="35"/>
      <c r="F711" s="1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7"/>
      <c r="E712" s="35"/>
      <c r="F712" s="1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7"/>
      <c r="E713" s="35"/>
      <c r="F713" s="1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7"/>
      <c r="E714" s="35"/>
      <c r="F714" s="1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7"/>
      <c r="E715" s="35"/>
      <c r="F715" s="1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7"/>
      <c r="E716" s="35"/>
      <c r="F716" s="1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7"/>
      <c r="E717" s="35"/>
      <c r="F717" s="1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7"/>
      <c r="E718" s="35"/>
      <c r="F718" s="1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7"/>
      <c r="E719" s="35"/>
      <c r="F719" s="1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7"/>
      <c r="E720" s="35"/>
      <c r="F720" s="1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7"/>
      <c r="E721" s="35"/>
      <c r="F721" s="1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7"/>
      <c r="E722" s="35"/>
      <c r="F722" s="1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7"/>
      <c r="E723" s="35"/>
      <c r="F723" s="1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7"/>
      <c r="E724" s="35"/>
      <c r="F724" s="1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7"/>
      <c r="E725" s="35"/>
      <c r="F725" s="1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7"/>
      <c r="E726" s="35"/>
      <c r="F726" s="1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7"/>
      <c r="E727" s="35"/>
      <c r="F727" s="1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7"/>
      <c r="E728" s="35"/>
      <c r="F728" s="1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7"/>
      <c r="E729" s="35"/>
      <c r="F729" s="1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7"/>
      <c r="E730" s="35"/>
      <c r="F730" s="1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7"/>
      <c r="E731" s="35"/>
      <c r="F731" s="1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7"/>
      <c r="E732" s="35"/>
      <c r="F732" s="1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7"/>
      <c r="E733" s="35"/>
      <c r="F733" s="1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7"/>
      <c r="E734" s="35"/>
      <c r="F734" s="1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7"/>
      <c r="E735" s="35"/>
      <c r="F735" s="1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7"/>
      <c r="E736" s="35"/>
      <c r="F736" s="1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7"/>
      <c r="E737" s="35"/>
      <c r="F737" s="1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7"/>
      <c r="E738" s="35"/>
      <c r="F738" s="1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7"/>
      <c r="E739" s="35"/>
      <c r="F739" s="1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7"/>
      <c r="E740" s="35"/>
      <c r="F740" s="1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7"/>
      <c r="E741" s="35"/>
      <c r="F741" s="1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7"/>
      <c r="E742" s="35"/>
      <c r="F742" s="1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7"/>
      <c r="E743" s="35"/>
      <c r="F743" s="1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7"/>
      <c r="E744" s="35"/>
      <c r="F744" s="1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7"/>
      <c r="E745" s="35"/>
      <c r="F745" s="1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7"/>
      <c r="E746" s="35"/>
      <c r="F746" s="1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7"/>
      <c r="E747" s="35"/>
      <c r="F747" s="1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7"/>
      <c r="E748" s="35"/>
      <c r="F748" s="1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7"/>
      <c r="E749" s="35"/>
      <c r="F749" s="1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7"/>
      <c r="E750" s="35"/>
      <c r="F750" s="1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7"/>
      <c r="E751" s="35"/>
      <c r="F751" s="1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7"/>
      <c r="E752" s="35"/>
      <c r="F752" s="1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7"/>
      <c r="E753" s="35"/>
      <c r="F753" s="1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7"/>
      <c r="E754" s="35"/>
      <c r="F754" s="1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7"/>
      <c r="E755" s="35"/>
      <c r="F755" s="1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7"/>
      <c r="E756" s="35"/>
      <c r="F756" s="1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7"/>
      <c r="E757" s="35"/>
      <c r="F757" s="1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7"/>
      <c r="E758" s="35"/>
      <c r="F758" s="1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7"/>
      <c r="E759" s="35"/>
      <c r="F759" s="1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7"/>
      <c r="E760" s="35"/>
      <c r="F760" s="1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7"/>
      <c r="E761" s="35"/>
      <c r="F761" s="1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7"/>
      <c r="E762" s="35"/>
      <c r="F762" s="1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7"/>
      <c r="E763" s="35"/>
      <c r="F763" s="1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7"/>
      <c r="E764" s="35"/>
      <c r="F764" s="1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7"/>
      <c r="E765" s="35"/>
      <c r="F765" s="1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7"/>
      <c r="E766" s="35"/>
      <c r="F766" s="1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7"/>
      <c r="E767" s="35"/>
      <c r="F767" s="1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7"/>
      <c r="E768" s="35"/>
      <c r="F768" s="1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7"/>
      <c r="E769" s="35"/>
      <c r="F769" s="1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7"/>
      <c r="E770" s="35"/>
      <c r="F770" s="1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7"/>
      <c r="E771" s="35"/>
      <c r="F771" s="1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7"/>
      <c r="E772" s="35"/>
      <c r="F772" s="1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7"/>
      <c r="E773" s="35"/>
      <c r="F773" s="1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7"/>
      <c r="E774" s="35"/>
      <c r="F774" s="1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7"/>
      <c r="E775" s="35"/>
      <c r="F775" s="1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7"/>
      <c r="E776" s="35"/>
      <c r="F776" s="1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7"/>
      <c r="E777" s="35"/>
      <c r="F777" s="1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7"/>
      <c r="E778" s="35"/>
      <c r="F778" s="1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7"/>
      <c r="E779" s="35"/>
      <c r="F779" s="1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7"/>
      <c r="E780" s="35"/>
      <c r="F780" s="1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7"/>
      <c r="E781" s="35"/>
      <c r="F781" s="1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7"/>
      <c r="E782" s="35"/>
      <c r="F782" s="1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7"/>
      <c r="E783" s="35"/>
      <c r="F783" s="1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7"/>
      <c r="E784" s="35"/>
      <c r="F784" s="1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7"/>
      <c r="E785" s="35"/>
      <c r="F785" s="1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7"/>
      <c r="E786" s="35"/>
      <c r="F786" s="1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7"/>
      <c r="E787" s="35"/>
      <c r="F787" s="1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7"/>
      <c r="E788" s="35"/>
      <c r="F788" s="1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7"/>
      <c r="E789" s="35"/>
      <c r="F789" s="1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7"/>
      <c r="E790" s="35"/>
      <c r="F790" s="1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7"/>
      <c r="E791" s="35"/>
      <c r="F791" s="1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7"/>
      <c r="E792" s="35"/>
      <c r="F792" s="1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7"/>
      <c r="E793" s="35"/>
      <c r="F793" s="1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7"/>
      <c r="E794" s="35"/>
      <c r="F794" s="1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7"/>
      <c r="E795" s="35"/>
      <c r="F795" s="1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7"/>
      <c r="E796" s="35"/>
      <c r="F796" s="1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7"/>
      <c r="E797" s="35"/>
      <c r="F797" s="1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7"/>
      <c r="E798" s="35"/>
      <c r="F798" s="1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7"/>
      <c r="E799" s="35"/>
      <c r="F799" s="1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7"/>
      <c r="E800" s="35"/>
      <c r="F800" s="1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7"/>
      <c r="E801" s="35"/>
      <c r="F801" s="1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7"/>
      <c r="E802" s="35"/>
      <c r="F802" s="1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7"/>
      <c r="E803" s="35"/>
      <c r="F803" s="1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7"/>
      <c r="E804" s="35"/>
      <c r="F804" s="1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7"/>
      <c r="E805" s="35"/>
      <c r="F805" s="1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7"/>
      <c r="E806" s="35"/>
      <c r="F806" s="1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7"/>
      <c r="E807" s="35"/>
      <c r="F807" s="1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7"/>
      <c r="E808" s="35"/>
      <c r="F808" s="1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7"/>
      <c r="E809" s="35"/>
      <c r="F809" s="1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7"/>
      <c r="E810" s="35"/>
      <c r="F810" s="1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7"/>
      <c r="E811" s="35"/>
      <c r="F811" s="1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7"/>
      <c r="E812" s="35"/>
      <c r="F812" s="1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7"/>
      <c r="E813" s="35"/>
      <c r="F813" s="1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7"/>
      <c r="E814" s="35"/>
      <c r="F814" s="1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7"/>
      <c r="E815" s="35"/>
      <c r="F815" s="1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7"/>
      <c r="E816" s="35"/>
      <c r="F816" s="1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7"/>
      <c r="E817" s="35"/>
      <c r="F817" s="1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7"/>
      <c r="E818" s="35"/>
      <c r="F818" s="1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7"/>
      <c r="E819" s="35"/>
      <c r="F819" s="1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7"/>
      <c r="E820" s="35"/>
      <c r="F820" s="1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7"/>
      <c r="E821" s="35"/>
      <c r="F821" s="1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7"/>
      <c r="E822" s="35"/>
      <c r="F822" s="1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7"/>
      <c r="E823" s="35"/>
      <c r="F823" s="1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7"/>
      <c r="E824" s="35"/>
      <c r="F824" s="1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7"/>
      <c r="E825" s="35"/>
      <c r="F825" s="1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7"/>
      <c r="E826" s="35"/>
      <c r="F826" s="1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7"/>
      <c r="E827" s="35"/>
      <c r="F827" s="1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7"/>
      <c r="E828" s="35"/>
      <c r="F828" s="1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7"/>
      <c r="E829" s="35"/>
      <c r="F829" s="1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7"/>
      <c r="E830" s="35"/>
      <c r="F830" s="1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7"/>
      <c r="E831" s="35"/>
      <c r="F831" s="1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7"/>
      <c r="E832" s="35"/>
      <c r="F832" s="1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7"/>
      <c r="E833" s="35"/>
      <c r="F833" s="1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7"/>
      <c r="E834" s="35"/>
      <c r="F834" s="1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7"/>
      <c r="E835" s="35"/>
      <c r="F835" s="1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7"/>
      <c r="E836" s="35"/>
      <c r="F836" s="1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7"/>
      <c r="E837" s="35"/>
      <c r="F837" s="1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7"/>
      <c r="E838" s="35"/>
      <c r="F838" s="1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7"/>
      <c r="E839" s="35"/>
      <c r="F839" s="1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7"/>
      <c r="E840" s="35"/>
      <c r="F840" s="1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7"/>
      <c r="E841" s="35"/>
      <c r="F841" s="1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7"/>
      <c r="E842" s="35"/>
      <c r="F842" s="1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7"/>
      <c r="E843" s="35"/>
      <c r="F843" s="1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7"/>
      <c r="E844" s="35"/>
      <c r="F844" s="1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7"/>
      <c r="E845" s="35"/>
      <c r="F845" s="1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7"/>
      <c r="E846" s="35"/>
      <c r="F846" s="1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7"/>
      <c r="E847" s="35"/>
      <c r="F847" s="1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7"/>
      <c r="E848" s="35"/>
      <c r="F848" s="1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7"/>
      <c r="E849" s="35"/>
      <c r="F849" s="1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7"/>
      <c r="E850" s="35"/>
      <c r="F850" s="1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7"/>
      <c r="E851" s="35"/>
      <c r="F851" s="1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7"/>
      <c r="E852" s="35"/>
      <c r="F852" s="1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7"/>
      <c r="E853" s="35"/>
      <c r="F853" s="1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7"/>
      <c r="E854" s="35"/>
      <c r="F854" s="1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7"/>
      <c r="E855" s="35"/>
      <c r="F855" s="1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7"/>
      <c r="E856" s="35"/>
      <c r="F856" s="1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7"/>
      <c r="E857" s="35"/>
      <c r="F857" s="1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7"/>
      <c r="E858" s="35"/>
      <c r="F858" s="1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7"/>
      <c r="E859" s="35"/>
      <c r="F859" s="1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7"/>
      <c r="E860" s="35"/>
      <c r="F860" s="1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7"/>
      <c r="E861" s="35"/>
      <c r="F861" s="1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7"/>
      <c r="E862" s="35"/>
      <c r="F862" s="1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7"/>
      <c r="E863" s="35"/>
      <c r="F863" s="1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7"/>
      <c r="E864" s="35"/>
      <c r="F864" s="1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7"/>
      <c r="E865" s="35"/>
      <c r="F865" s="1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7"/>
      <c r="E866" s="35"/>
      <c r="F866" s="1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7"/>
      <c r="E867" s="35"/>
      <c r="F867" s="1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7"/>
      <c r="E868" s="35"/>
      <c r="F868" s="1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7"/>
      <c r="E869" s="35"/>
      <c r="F869" s="1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7"/>
      <c r="E870" s="35"/>
      <c r="F870" s="1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7"/>
      <c r="E871" s="35"/>
      <c r="F871" s="1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7"/>
      <c r="E872" s="35"/>
      <c r="F872" s="1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7"/>
      <c r="E873" s="35"/>
      <c r="F873" s="1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7"/>
      <c r="E874" s="35"/>
      <c r="F874" s="1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7"/>
      <c r="E875" s="35"/>
      <c r="F875" s="1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7"/>
      <c r="E876" s="35"/>
      <c r="F876" s="1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7"/>
      <c r="E877" s="35"/>
      <c r="F877" s="1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7"/>
      <c r="E878" s="35"/>
      <c r="F878" s="1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7"/>
      <c r="E879" s="35"/>
      <c r="F879" s="1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7"/>
      <c r="E880" s="35"/>
      <c r="F880" s="1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7"/>
      <c r="E881" s="35"/>
      <c r="F881" s="1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7"/>
      <c r="E882" s="35"/>
      <c r="F882" s="1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7"/>
      <c r="E883" s="35"/>
      <c r="F883" s="1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7"/>
      <c r="E884" s="35"/>
      <c r="F884" s="1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7"/>
      <c r="E885" s="35"/>
      <c r="F885" s="1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7"/>
      <c r="E886" s="35"/>
      <c r="F886" s="1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7"/>
      <c r="E887" s="35"/>
      <c r="F887" s="1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7"/>
      <c r="E888" s="35"/>
      <c r="F888" s="1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7"/>
      <c r="E889" s="35"/>
      <c r="F889" s="1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7"/>
      <c r="E890" s="35"/>
      <c r="F890" s="1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7"/>
      <c r="E891" s="35"/>
      <c r="F891" s="1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7"/>
      <c r="E892" s="35"/>
      <c r="F892" s="1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7"/>
      <c r="E893" s="35"/>
      <c r="F893" s="1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7"/>
      <c r="E894" s="35"/>
      <c r="F894" s="1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7"/>
      <c r="E895" s="35"/>
      <c r="F895" s="1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7"/>
      <c r="E896" s="35"/>
      <c r="F896" s="1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7"/>
      <c r="E897" s="35"/>
      <c r="F897" s="1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7"/>
      <c r="E898" s="35"/>
      <c r="F898" s="1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7"/>
      <c r="E899" s="35"/>
      <c r="F899" s="1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7"/>
      <c r="E900" s="35"/>
      <c r="F900" s="1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7"/>
      <c r="E901" s="35"/>
      <c r="F901" s="1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7"/>
      <c r="E902" s="35"/>
      <c r="F902" s="1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7"/>
      <c r="E903" s="35"/>
      <c r="F903" s="1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7"/>
      <c r="E904" s="35"/>
      <c r="F904" s="1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7"/>
      <c r="E905" s="35"/>
      <c r="F905" s="1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7"/>
      <c r="E906" s="35"/>
      <c r="F906" s="1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7"/>
      <c r="E907" s="35"/>
      <c r="F907" s="1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7"/>
      <c r="E908" s="35"/>
      <c r="F908" s="1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7"/>
      <c r="E909" s="35"/>
      <c r="F909" s="1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7"/>
      <c r="E910" s="35"/>
      <c r="F910" s="1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7"/>
      <c r="E911" s="35"/>
      <c r="F911" s="1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7"/>
      <c r="E912" s="35"/>
      <c r="F912" s="1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7"/>
      <c r="E913" s="35"/>
      <c r="F913" s="1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7"/>
      <c r="E914" s="35"/>
      <c r="F914" s="1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7"/>
      <c r="E915" s="35"/>
      <c r="F915" s="1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7"/>
      <c r="E916" s="35"/>
      <c r="F916" s="1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7"/>
      <c r="E917" s="35"/>
      <c r="F917" s="1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7"/>
      <c r="E918" s="35"/>
      <c r="F918" s="1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7"/>
      <c r="E919" s="35"/>
      <c r="F919" s="1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7"/>
      <c r="E920" s="35"/>
      <c r="F920" s="1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7"/>
      <c r="E921" s="35"/>
      <c r="F921" s="1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7"/>
      <c r="E922" s="35"/>
      <c r="F922" s="1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7"/>
      <c r="E923" s="35"/>
      <c r="F923" s="1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7"/>
      <c r="E924" s="35"/>
      <c r="F924" s="1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7"/>
      <c r="E925" s="35"/>
      <c r="F925" s="1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7"/>
      <c r="E926" s="35"/>
      <c r="F926" s="1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7"/>
      <c r="E927" s="35"/>
      <c r="F927" s="1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7"/>
      <c r="E928" s="35"/>
      <c r="F928" s="1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7"/>
      <c r="E929" s="35"/>
      <c r="F929" s="1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7"/>
      <c r="E930" s="35"/>
      <c r="F930" s="1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7"/>
      <c r="E931" s="35"/>
      <c r="F931" s="1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7"/>
      <c r="E932" s="35"/>
      <c r="F932" s="1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7"/>
      <c r="E933" s="35"/>
      <c r="F933" s="1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7"/>
      <c r="E934" s="35"/>
      <c r="F934" s="1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7"/>
      <c r="E935" s="35"/>
      <c r="F935" s="1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7"/>
      <c r="E936" s="35"/>
      <c r="F936" s="1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7"/>
      <c r="E937" s="35"/>
      <c r="F937" s="1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7"/>
      <c r="E938" s="35"/>
      <c r="F938" s="1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7"/>
      <c r="E939" s="35"/>
      <c r="F939" s="1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7"/>
      <c r="E940" s="35"/>
      <c r="F940" s="1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7"/>
      <c r="E941" s="35"/>
      <c r="F941" s="1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7"/>
      <c r="E942" s="35"/>
      <c r="F942" s="1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7"/>
      <c r="E943" s="35"/>
      <c r="F943" s="1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7"/>
      <c r="E944" s="35"/>
      <c r="F944" s="1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7"/>
      <c r="E945" s="35"/>
      <c r="F945" s="1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7"/>
      <c r="E946" s="35"/>
      <c r="F946" s="1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7"/>
      <c r="E947" s="35"/>
      <c r="F947" s="1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7"/>
      <c r="E948" s="35"/>
      <c r="F948" s="1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7"/>
      <c r="E949" s="35"/>
      <c r="F949" s="1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7"/>
      <c r="E950" s="35"/>
      <c r="F950" s="1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7"/>
      <c r="E951" s="35"/>
      <c r="F951" s="1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7"/>
      <c r="E952" s="35"/>
      <c r="F952" s="1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7"/>
      <c r="E953" s="35"/>
      <c r="F953" s="1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7"/>
      <c r="E954" s="35"/>
      <c r="F954" s="1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7"/>
      <c r="E955" s="35"/>
      <c r="F955" s="1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7"/>
      <c r="E956" s="35"/>
      <c r="F956" s="1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7"/>
      <c r="E957" s="35"/>
      <c r="F957" s="1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7"/>
      <c r="E958" s="35"/>
      <c r="F958" s="1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7"/>
      <c r="E959" s="35"/>
      <c r="F959" s="1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7"/>
      <c r="E960" s="35"/>
      <c r="F960" s="1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7"/>
      <c r="E961" s="35"/>
      <c r="F961" s="1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7"/>
      <c r="E962" s="35"/>
      <c r="F962" s="1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7"/>
      <c r="E963" s="35"/>
      <c r="F963" s="1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7"/>
      <c r="E964" s="35"/>
      <c r="F964" s="1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7"/>
      <c r="E965" s="35"/>
      <c r="F965" s="1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7"/>
      <c r="E966" s="35"/>
      <c r="F966" s="1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7"/>
      <c r="E967" s="35"/>
      <c r="F967" s="1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7"/>
      <c r="E968" s="35"/>
      <c r="F968" s="1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7"/>
      <c r="E969" s="35"/>
      <c r="F969" s="1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7"/>
      <c r="E970" s="35"/>
      <c r="F970" s="1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7"/>
      <c r="E971" s="35"/>
      <c r="F971" s="1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7"/>
      <c r="E972" s="35"/>
      <c r="F972" s="1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7"/>
      <c r="E973" s="35"/>
      <c r="F973" s="1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7"/>
      <c r="E974" s="35"/>
      <c r="F974" s="1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7"/>
      <c r="E975" s="35"/>
      <c r="F975" s="1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7"/>
      <c r="E976" s="35"/>
      <c r="F976" s="1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7"/>
      <c r="E977" s="35"/>
      <c r="F977" s="1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7"/>
      <c r="E978" s="35"/>
      <c r="F978" s="1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7"/>
      <c r="E979" s="35"/>
      <c r="F979" s="1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7"/>
      <c r="E980" s="35"/>
      <c r="F980" s="1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7"/>
      <c r="E981" s="35"/>
      <c r="F981" s="1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7"/>
      <c r="E982" s="35"/>
      <c r="F982" s="1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7"/>
      <c r="E983" s="35"/>
      <c r="F983" s="1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7"/>
      <c r="E984" s="35"/>
      <c r="F984" s="1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7"/>
      <c r="E985" s="35"/>
      <c r="F985" s="1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7"/>
      <c r="E986" s="35"/>
      <c r="F986" s="1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7"/>
      <c r="E987" s="35"/>
      <c r="F987" s="1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7"/>
      <c r="E988" s="35"/>
      <c r="F988" s="1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7"/>
      <c r="E989" s="35"/>
      <c r="F989" s="1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7"/>
      <c r="E990" s="35"/>
      <c r="F990" s="1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7"/>
      <c r="E991" s="35"/>
      <c r="F991" s="1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7"/>
      <c r="E992" s="35"/>
      <c r="F992" s="1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7"/>
      <c r="E993" s="35"/>
      <c r="F993" s="1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7"/>
      <c r="E994" s="35"/>
      <c r="F994" s="1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7"/>
      <c r="E995" s="35"/>
      <c r="F995" s="1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7"/>
      <c r="E996" s="35"/>
      <c r="F996" s="1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7"/>
      <c r="E997" s="35"/>
      <c r="F997" s="1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7"/>
      <c r="E998" s="35"/>
      <c r="F998" s="1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7"/>
      <c r="E999" s="35"/>
      <c r="F999" s="1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7"/>
      <c r="E1000" s="35"/>
      <c r="F1000" s="1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A2:K4"/>
    <mergeCell ref="B7:K7"/>
    <mergeCell ref="B8:K8"/>
    <mergeCell ref="B9:K9"/>
    <mergeCell ref="B10:D10"/>
    <mergeCell ref="J10:K10"/>
    <mergeCell ref="A14:C14"/>
    <mergeCell ref="I14:J14"/>
    <mergeCell ref="A17:C17"/>
    <mergeCell ref="A18:C18"/>
    <mergeCell ref="A19:C19"/>
    <mergeCell ref="D14:E14"/>
    <mergeCell ref="F14:G14"/>
    <mergeCell ref="A15:C15"/>
    <mergeCell ref="I15:J15"/>
    <mergeCell ref="A16:C16"/>
    <mergeCell ref="I16:J16"/>
    <mergeCell ref="I17:J17"/>
    <mergeCell ref="A20:C20"/>
    <mergeCell ref="A21:H21"/>
    <mergeCell ref="A22:H22"/>
    <mergeCell ref="I18:J18"/>
    <mergeCell ref="I19:J19"/>
    <mergeCell ref="I20:J20"/>
    <mergeCell ref="I21:J21"/>
  </mergeCells>
  <dataValidations count="1">
    <dataValidation type="list" allowBlank="1" showErrorMessage="1" sqref="J10" xr:uid="{00000000-0002-0000-0F00-000000000000}">
      <formula1>$N$1:$N$6</formula1>
    </dataValidation>
  </dataValidations>
  <pageMargins left="0.55118110236220474" right="0.27559055118110237" top="0.59055118110236227" bottom="0.59055118110236227" header="0" footer="0"/>
  <pageSetup paperSize="9" scale="9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Dados Gerais</vt:lpstr>
      <vt:lpstr>Resumo</vt:lpstr>
      <vt:lpstr>Movimentação de Terra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Rev. Internos Piso e Parede</vt:lpstr>
      <vt:lpstr>Acabamentos de Teto</vt:lpstr>
      <vt:lpstr>Acabamentos de Piso e Parede</vt:lpstr>
      <vt:lpstr>Pintura Interna</vt:lpstr>
      <vt:lpstr>Esquadrias</vt:lpstr>
      <vt:lpstr>Cobertura</vt:lpstr>
      <vt:lpstr>Rev. Fachada</vt:lpstr>
      <vt:lpstr>Complementares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Amanda Deichmann</cp:lastModifiedBy>
  <dcterms:created xsi:type="dcterms:W3CDTF">2013-07-31T19:52:57Z</dcterms:created>
  <dcterms:modified xsi:type="dcterms:W3CDTF">2024-02-19T19:02:00Z</dcterms:modified>
</cp:coreProperties>
</file>