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2.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drawings/drawing10.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CANTEIRO" sheetId="80" r:id="rId12"/>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<sst xmlns="http://schemas.openxmlformats.org/spreadsheetml/2006/main" count="76186" uniqueCount="11265">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</sst>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9.png"/><Relationship Id="rId1" Type="http://schemas.openxmlformats.org/officeDocument/2006/relationships/image" Target="../media/image8.png"/><Relationship Id="rId4" Type="http://schemas.microsoft.com/office/2007/relationships/hdphoto" Target="../media/hdphoto1.wdp"/></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6</xdr:col>
      <xdr:colOff>1009651</xdr:colOff>
      <xdr:row>5</xdr:row>
      <xdr:rowOff>114300</xdr:rowOff>
    </xdr:from>
    <xdr:ext cx="3790950" cy="2628901"/>
    <xdr:pic>
      <xdr:nvPicPr>
        <xdr:cNvPr id="2" name="image17.png">
          <a:extLst>
            <a:ext uri="{FF2B5EF4-FFF2-40B4-BE49-F238E27FC236}">
              <a16:creationId xmlns:a16="http://schemas.microsoft.com/office/drawing/2014/main" id="{8FD66C89-E546-48C4-938E-4ED7F9625137}"/>
            </a:ext>
          </a:extLst>
        </xdr:cNvPr>
        <xdr:cNvPicPr preferRelativeResize="0"/>
      </xdr:nvPicPr>
      <xdr:blipFill>
        <a:blip xmlns:r="http://schemas.openxmlformats.org/officeDocument/2006/relationships" r:embed="rId1" cstate="print"/>
        <a:stretch>
          <a:fillRect/>
        </a:stretch>
      </xdr:blipFill>
      <xdr:spPr>
        <a:xfrm>
          <a:off x="8061961" y="1630680"/>
          <a:ext cx="3790950" cy="2628901"/>
        </a:xfrm>
        <a:prstGeom prst="rect">
          <a:avLst/>
        </a:prstGeom>
        <a:noFill/>
      </xdr:spPr>
    </xdr:pic>
    <xdr:clientData fLocksWithSheet="0"/>
  </xdr:oneCellAnchor>
  <xdr:oneCellAnchor>
    <xdr:from>
      <xdr:col>18</xdr:col>
      <xdr:colOff>38100</xdr:colOff>
      <xdr:row>4</xdr:row>
      <xdr:rowOff>219075</xdr:rowOff>
    </xdr:from>
    <xdr:ext cx="7972425" cy="1800225"/>
    <xdr:pic>
      <xdr:nvPicPr>
        <xdr:cNvPr id="3" name="image15.png">
          <a:extLst>
            <a:ext uri="{FF2B5EF4-FFF2-40B4-BE49-F238E27FC236}">
              <a16:creationId xmlns:a16="http://schemas.microsoft.com/office/drawing/2014/main" id="{96964FDB-1B77-448F-8D98-C4E208A28500}"/>
            </a:ext>
          </a:extLst>
        </xdr:cNvPr>
        <xdr:cNvPicPr preferRelativeResize="0"/>
      </xdr:nvPicPr>
      <xdr:blipFill>
        <a:blip xmlns:r="http://schemas.openxmlformats.org/officeDocument/2006/relationships" r:embed="rId2" cstate="print"/>
        <a:stretch>
          <a:fillRect/>
        </a:stretch>
      </xdr:blipFill>
      <xdr:spPr>
        <a:xfrm>
          <a:off x="23660100" y="1447800"/>
          <a:ext cx="7972425" cy="1800225"/>
        </a:xfrm>
        <a:prstGeom prst="rect">
          <a:avLst/>
        </a:prstGeom>
        <a:noFill/>
      </xdr:spPr>
    </xdr:pic>
    <xdr:clientData fLocksWithSheet="0"/>
  </xdr:oneCellAnchor>
  <xdr:oneCellAnchor>
    <xdr:from>
      <xdr:col>7</xdr:col>
      <xdr:colOff>114300</xdr:colOff>
      <xdr:row>0</xdr:row>
      <xdr:rowOff>247650</xdr:rowOff>
    </xdr:from>
    <xdr:ext cx="1370890" cy="323850"/>
    <xdr:pic>
      <xdr:nvPicPr>
        <xdr:cNvPr id="4" name="image3.png">
          <a:extLst>
            <a:ext uri="{FF2B5EF4-FFF2-40B4-BE49-F238E27FC236}">
              <a16:creationId xmlns:a16="http://schemas.microsoft.com/office/drawing/2014/main" id="{3183E09C-EB8D-4E60-B369-48A6BBCFC6CA}"/>
            </a:ext>
          </a:extLst>
        </xdr:cNvPr>
        <xdr:cNvPicPr/>
      </xdr:nvPicPr>
      <xdr:blipFill>
        <a:blip xmlns:r="http://schemas.openxmlformats.org/officeDocument/2006/relationships" r:embed="rId3">
          <a:extLst>
            <a:ext uri="{BEBA8EAE-BF5A-486C-A8C5-ECC9F3942E4B}">
              <a14:imgProps xmlns:a14="http://schemas.microsoft.com/office/drawing/2010/main">
                <a14:imgLayer r:embed="rId4">
                  <a14:imgEffect>
                    <a14:colorTemperature colorTemp="11200"/>
                  </a14:imgEffect>
                  <a14:imgEffect>
                    <a14:saturation sat="200000"/>
                  </a14:imgEffect>
                </a14:imgLayer>
              </a14:imgProps>
            </a:ext>
          </a:extLst>
        </a:blip>
        <a:srcRect/>
        <a:stretch>
          <a:fillRect/>
        </a:stretch>
      </xdr:blipFill>
      <xdr:spPr>
        <a:xfrm>
          <a:off x="11361420" y="251460"/>
          <a:ext cx="1370890" cy="323850"/>
        </a:xfrm>
        <a:prstGeom prst="rect">
          <a:avLst/>
        </a:prstGeom>
        <a:ln/>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E3887-0FE4-45A5-9DF0-24FF9DE70E7F}">
  <sheetPr>
    <tabColor rgb="FF0000FF"/>
  </sheetPr>
  <dimension ref="A1:AL48"/>
  <sheetViews>
    <sheetView showGridLines="0" workbookViewId="0">
      <pane ySplit="4" topLeftCell="A5" activePane="bottomLeft" state="frozen"/>
      <selection activeCell="L5" sqref="L5:N48"/>
      <selection pane="bottomLeft" activeCell="D10" sqref="D10"/>
    </sheetView>
  </sheetViews>
  <sheetFormatPr defaultColWidth="14.42578125" defaultRowHeight="15" customHeight="1" x14ac:dyDescent="0.2"/>
  <cols>
    <col min="1" max="1" width="12" style="888" customWidth="1"/>
    <col min="2" max="2" width="41" style="888" customWidth="1"/>
    <col min="3" max="3" width="15.5703125" style="888" customWidth="1"/>
    <col min="4" max="4" width="12.42578125" style="888" customWidth="1"/>
    <col min="5" max="5" width="12.7109375" style="888" customWidth="1"/>
    <col min="6" max="6" width="12" style="888" bestFit="1" customWidth="1"/>
    <col min="7" max="7" width="63" style="888" bestFit="1" customWidth="1"/>
    <col min="8" max="8" width="24.140625" style="888" customWidth="1"/>
    <col min="9" max="14" width="16.28515625" style="888" customWidth="1"/>
    <col min="15" max="15" width="21.85546875" style="888" customWidth="1"/>
    <col min="16" max="16" width="11.28515625" style="888" customWidth="1"/>
    <col min="17" max="17" width="20" style="888" customWidth="1"/>
    <col min="18" max="18" width="10.28515625" style="888" customWidth="1"/>
    <col min="19" max="19" width="8.7109375" style="888" customWidth="1"/>
    <col min="20" max="20" width="13" style="888" customWidth="1"/>
    <col min="21" max="21" width="8.7109375" style="888" customWidth="1"/>
    <col min="22" max="38" width="14.42578125" style="888"/>
  </cols>
  <sheetData>
    <row r="1" spans="1:38" ht="21.75" customHeight="1" x14ac:dyDescent="0.6">
      <c r="A1" s="883" t="s">
        <v>1277</v>
      </c>
      <c r="B1" s="803" t="str">
        <f>CAPA!C2</f>
        <v>Elizabeth II Royal Home</v>
      </c>
      <c r="C1" s="884"/>
      <c r="D1" s="885"/>
      <c r="E1" s="886"/>
      <c r="F1" s="886"/>
      <c r="G1" s="886"/>
      <c r="H1" s="887"/>
      <c r="P1" s="889"/>
      <c r="Q1" s="889"/>
      <c r="V1"/>
      <c r="W1"/>
      <c r="X1"/>
      <c r="Y1"/>
      <c r="Z1"/>
      <c r="AA1"/>
      <c r="AB1"/>
      <c r="AC1"/>
      <c r="AD1"/>
      <c r="AE1"/>
      <c r="AF1"/>
      <c r="AG1"/>
      <c r="AH1"/>
      <c r="AI1"/>
      <c r="AJ1"/>
      <c r="AK1"/>
      <c r="AL1"/>
    </row>
    <row r="2" spans="1:38" ht="21.75" customHeight="1" x14ac:dyDescent="0.6">
      <c r="A2" s="890" t="s">
        <v>1</v>
      </c>
      <c r="B2" s="810" t="str">
        <f>CAPA!C3</f>
        <v>Gessele</v>
      </c>
      <c r="C2" s="891"/>
      <c r="D2" s="892"/>
      <c r="E2" s="893"/>
      <c r="F2" s="893"/>
      <c r="G2" s="893"/>
      <c r="H2" s="894"/>
      <c r="P2" s="889"/>
      <c r="Q2" s="889"/>
      <c r="V2"/>
      <c r="W2"/>
      <c r="X2"/>
      <c r="Y2"/>
      <c r="Z2"/>
      <c r="AA2"/>
      <c r="AB2"/>
      <c r="AC2"/>
      <c r="AD2"/>
      <c r="AE2"/>
      <c r="AF2"/>
      <c r="AG2"/>
      <c r="AH2"/>
      <c r="AI2"/>
      <c r="AJ2"/>
      <c r="AK2"/>
      <c r="AL2"/>
    </row>
    <row r="3" spans="1:38" ht="22.5" customHeight="1" thickBot="1" x14ac:dyDescent="0.65">
      <c r="A3" s="890" t="s">
        <v>2</v>
      </c>
      <c r="B3" s="810" t="str">
        <f>CAPA!C4</f>
        <v xml:space="preserve">R00 </v>
      </c>
      <c r="C3" s="891"/>
      <c r="D3" s="892"/>
      <c r="E3" s="893"/>
      <c r="F3" s="893"/>
      <c r="G3" s="895"/>
      <c r="H3" s="896"/>
      <c r="O3" s="1960" t="s">
        <v>2116</v>
      </c>
      <c r="P3" s="1961"/>
      <c r="Q3" s="1961"/>
      <c r="S3" s="1960" t="s">
        <v>2117</v>
      </c>
      <c r="T3" s="1961"/>
      <c r="U3" s="1961"/>
      <c r="V3"/>
      <c r="W3"/>
      <c r="X3"/>
      <c r="Y3"/>
      <c r="Z3"/>
      <c r="AA3"/>
      <c r="AB3"/>
      <c r="AC3"/>
      <c r="AD3"/>
      <c r="AE3"/>
      <c r="AF3"/>
      <c r="AG3"/>
      <c r="AH3"/>
      <c r="AI3"/>
      <c r="AJ3"/>
      <c r="AK3"/>
      <c r="AL3"/>
    </row>
    <row r="4" spans="1:38" ht="30.75" thickBot="1" x14ac:dyDescent="0.3">
      <c r="A4" s="1962" t="s">
        <v>1612</v>
      </c>
      <c r="B4" s="1963"/>
      <c r="C4" s="1963"/>
      <c r="D4" s="1963"/>
      <c r="E4" s="1963"/>
      <c r="F4" s="1963"/>
      <c r="G4" s="1963"/>
      <c r="H4" s="1964"/>
      <c r="O4" s="897" t="s">
        <v>2118</v>
      </c>
      <c r="P4" s="889">
        <f>CAPA!C10</f>
        <v>16749.670000000002</v>
      </c>
      <c r="Q4" s="889"/>
      <c r="S4" s="897" t="s">
        <v>2119</v>
      </c>
      <c r="T4" s="889">
        <f>P4/P5</f>
        <v>348.95145833333339</v>
      </c>
      <c r="V4"/>
      <c r="W4"/>
      <c r="X4"/>
      <c r="Y4"/>
      <c r="Z4"/>
      <c r="AA4"/>
      <c r="AB4"/>
      <c r="AC4"/>
      <c r="AD4"/>
      <c r="AE4"/>
      <c r="AF4"/>
      <c r="AG4"/>
      <c r="AH4"/>
      <c r="AI4"/>
      <c r="AJ4"/>
      <c r="AK4"/>
      <c r="AL4"/>
    </row>
    <row r="5" spans="1:38" ht="22.5" thickTop="1" x14ac:dyDescent="0.6">
      <c r="A5" s="898" t="s">
        <v>1612</v>
      </c>
      <c r="B5" s="899"/>
      <c r="C5" s="899"/>
      <c r="D5" s="900"/>
      <c r="E5" s="901"/>
      <c r="F5" s="901"/>
      <c r="G5" s="901"/>
      <c r="H5" s="902"/>
      <c r="O5" s="897" t="s">
        <v>2120</v>
      </c>
      <c r="P5" s="889">
        <f>CAPA!C6</f>
        <v>48</v>
      </c>
      <c r="Q5" s="889" t="s">
        <v>2121</v>
      </c>
      <c r="S5" s="897" t="s">
        <v>1615</v>
      </c>
      <c r="T5" s="897">
        <v>49</v>
      </c>
      <c r="U5" s="897" t="s">
        <v>1616</v>
      </c>
      <c r="V5"/>
      <c r="W5"/>
      <c r="X5"/>
      <c r="Y5"/>
      <c r="Z5"/>
      <c r="AA5"/>
      <c r="AB5"/>
      <c r="AC5"/>
      <c r="AD5"/>
      <c r="AE5"/>
      <c r="AF5"/>
      <c r="AG5"/>
      <c r="AH5"/>
      <c r="AI5"/>
      <c r="AJ5"/>
      <c r="AK5"/>
      <c r="AL5"/>
    </row>
    <row r="6" spans="1:38" ht="22.5" thickBot="1" x14ac:dyDescent="0.65">
      <c r="A6" s="903"/>
      <c r="B6" s="904"/>
      <c r="C6" s="904"/>
      <c r="D6" s="905"/>
      <c r="E6" s="906"/>
      <c r="F6" s="906"/>
      <c r="G6" s="906"/>
      <c r="H6" s="907"/>
      <c r="O6" s="897" t="s">
        <v>2122</v>
      </c>
      <c r="P6" s="889">
        <f>ROUNDUP((P4*T5)/P5/180,)</f>
        <v>95</v>
      </c>
      <c r="Q6" s="889" t="s">
        <v>2123</v>
      </c>
      <c r="V6"/>
      <c r="W6"/>
      <c r="X6"/>
      <c r="Y6"/>
      <c r="Z6"/>
      <c r="AA6"/>
      <c r="AB6"/>
      <c r="AC6"/>
      <c r="AD6"/>
      <c r="AE6"/>
      <c r="AF6"/>
      <c r="AG6"/>
      <c r="AH6"/>
      <c r="AI6"/>
      <c r="AJ6"/>
      <c r="AK6"/>
      <c r="AL6"/>
    </row>
    <row r="7" spans="1:38" ht="21.75" x14ac:dyDescent="0.6">
      <c r="A7" s="903"/>
      <c r="B7" s="908" t="s">
        <v>60</v>
      </c>
      <c r="C7" s="909" t="s">
        <v>1220</v>
      </c>
      <c r="D7" s="910" t="s">
        <v>62</v>
      </c>
      <c r="E7" s="906"/>
      <c r="F7" s="906"/>
      <c r="G7" s="906"/>
      <c r="H7" s="907"/>
      <c r="O7" s="897" t="s">
        <v>2124</v>
      </c>
      <c r="P7" s="889">
        <v>10</v>
      </c>
      <c r="Q7" s="889"/>
      <c r="R7" s="889"/>
      <c r="V7"/>
      <c r="W7"/>
      <c r="X7"/>
      <c r="Y7"/>
      <c r="Z7"/>
      <c r="AA7"/>
      <c r="AB7"/>
      <c r="AC7"/>
      <c r="AD7"/>
      <c r="AE7"/>
      <c r="AF7"/>
      <c r="AG7"/>
      <c r="AH7"/>
      <c r="AI7"/>
      <c r="AJ7"/>
      <c r="AK7"/>
      <c r="AL7"/>
    </row>
    <row r="8" spans="1:38" ht="21.75" x14ac:dyDescent="0.6">
      <c r="A8" s="903"/>
      <c r="B8" s="911" t="s">
        <v>1613</v>
      </c>
      <c r="C8" s="912" t="s">
        <v>1614</v>
      </c>
      <c r="D8" s="913">
        <f>CAPA!C10/CAPA!C6</f>
        <v>348.95145833333339</v>
      </c>
      <c r="E8" s="906"/>
      <c r="F8" s="906"/>
      <c r="G8" s="906"/>
      <c r="H8" s="907"/>
      <c r="O8" s="914" t="s">
        <v>1618</v>
      </c>
      <c r="P8" s="915">
        <v>5</v>
      </c>
      <c r="Q8" s="915" t="s">
        <v>2123</v>
      </c>
      <c r="R8" s="889"/>
      <c r="V8"/>
      <c r="W8"/>
      <c r="X8"/>
      <c r="Y8"/>
      <c r="Z8"/>
      <c r="AA8"/>
      <c r="AB8"/>
      <c r="AC8"/>
      <c r="AD8"/>
      <c r="AE8"/>
      <c r="AF8"/>
      <c r="AG8"/>
      <c r="AH8"/>
      <c r="AI8"/>
      <c r="AJ8"/>
      <c r="AK8"/>
      <c r="AL8"/>
    </row>
    <row r="9" spans="1:38" ht="21.75" x14ac:dyDescent="0.6">
      <c r="A9" s="903"/>
      <c r="B9" s="916" t="s">
        <v>1615</v>
      </c>
      <c r="C9" s="917" t="s">
        <v>1616</v>
      </c>
      <c r="D9" s="918">
        <v>47</v>
      </c>
      <c r="E9" s="906"/>
      <c r="F9" s="906"/>
      <c r="G9" s="906"/>
      <c r="H9" s="907"/>
      <c r="P9" s="889"/>
      <c r="Q9" s="889"/>
      <c r="V9"/>
      <c r="W9"/>
      <c r="X9"/>
      <c r="Y9"/>
      <c r="Z9"/>
      <c r="AA9"/>
      <c r="AB9"/>
      <c r="AC9"/>
      <c r="AD9"/>
      <c r="AE9"/>
      <c r="AF9"/>
      <c r="AG9"/>
      <c r="AH9"/>
      <c r="AI9"/>
      <c r="AJ9"/>
      <c r="AK9"/>
      <c r="AL9"/>
    </row>
    <row r="10" spans="1:38" ht="21.75" x14ac:dyDescent="0.6">
      <c r="A10" s="903"/>
      <c r="B10" s="919" t="s">
        <v>1617</v>
      </c>
      <c r="C10" s="920" t="s">
        <v>534</v>
      </c>
      <c r="D10" s="921">
        <f>ROUNDUP((D9*CAPA!C10)/CAPA!C6/180,)</f>
        <v>92</v>
      </c>
      <c r="E10" s="906"/>
      <c r="F10" s="906"/>
      <c r="G10" s="906"/>
      <c r="H10" s="907"/>
      <c r="P10" s="889"/>
      <c r="Q10" s="889"/>
      <c r="V10"/>
      <c r="W10"/>
      <c r="X10"/>
      <c r="Y10"/>
      <c r="Z10"/>
      <c r="AA10"/>
      <c r="AB10"/>
      <c r="AC10"/>
      <c r="AD10"/>
      <c r="AE10"/>
      <c r="AF10"/>
      <c r="AG10"/>
      <c r="AH10"/>
      <c r="AI10"/>
      <c r="AJ10"/>
      <c r="AK10"/>
      <c r="AL10"/>
    </row>
    <row r="11" spans="1:38" ht="21.75" x14ac:dyDescent="0.6">
      <c r="A11" s="903"/>
      <c r="B11" s="922" t="s">
        <v>1618</v>
      </c>
      <c r="C11" s="923" t="s">
        <v>534</v>
      </c>
      <c r="D11" s="924">
        <v>9</v>
      </c>
      <c r="E11" s="906"/>
      <c r="F11" s="906"/>
      <c r="G11" s="906"/>
      <c r="H11" s="907"/>
      <c r="O11" s="897" t="s">
        <v>2125</v>
      </c>
      <c r="P11" s="889">
        <f>450+(P4-13000)/1000*16</f>
        <v>509.99472000000003</v>
      </c>
      <c r="Q11" s="889"/>
      <c r="R11" s="889"/>
      <c r="V11"/>
      <c r="W11"/>
      <c r="X11"/>
      <c r="Y11"/>
      <c r="Z11"/>
      <c r="AA11"/>
      <c r="AB11"/>
      <c r="AC11"/>
      <c r="AD11"/>
      <c r="AE11"/>
      <c r="AF11"/>
      <c r="AG11"/>
      <c r="AH11"/>
      <c r="AI11"/>
      <c r="AJ11"/>
      <c r="AK11"/>
      <c r="AL11"/>
    </row>
    <row r="12" spans="1:38" ht="21.75" x14ac:dyDescent="0.6">
      <c r="A12" s="925"/>
      <c r="B12" s="926" t="s">
        <v>1611</v>
      </c>
      <c r="C12" s="927" t="s">
        <v>1619</v>
      </c>
      <c r="D12" s="928">
        <f>600*D10</f>
        <v>55200</v>
      </c>
      <c r="E12" s="929" t="s">
        <v>3510</v>
      </c>
      <c r="F12" s="929"/>
      <c r="G12" s="929"/>
      <c r="H12" s="907"/>
      <c r="P12" s="930">
        <f>SUM(P11:P11)</f>
        <v>509.99472000000003</v>
      </c>
      <c r="Q12" s="889"/>
      <c r="V12"/>
      <c r="W12"/>
      <c r="X12"/>
      <c r="Y12"/>
      <c r="Z12"/>
      <c r="AA12"/>
      <c r="AB12"/>
      <c r="AC12"/>
      <c r="AD12"/>
      <c r="AE12"/>
      <c r="AF12"/>
      <c r="AG12"/>
      <c r="AH12"/>
      <c r="AI12"/>
      <c r="AJ12"/>
      <c r="AK12"/>
      <c r="AL12"/>
    </row>
    <row r="13" spans="1:38" ht="18" x14ac:dyDescent="0.45">
      <c r="A13" s="931"/>
      <c r="B13" s="926" t="s">
        <v>1620</v>
      </c>
      <c r="C13" s="927" t="s">
        <v>1619</v>
      </c>
      <c r="D13" s="928">
        <f>750*D10</f>
        <v>69000</v>
      </c>
      <c r="E13" s="932" t="s">
        <v>2126</v>
      </c>
      <c r="F13" s="933"/>
      <c r="G13" s="933"/>
      <c r="H13" s="934"/>
      <c r="P13" s="889"/>
      <c r="Q13" s="889"/>
      <c r="V13"/>
      <c r="W13"/>
      <c r="X13"/>
      <c r="Y13"/>
      <c r="Z13"/>
      <c r="AA13"/>
      <c r="AB13"/>
      <c r="AC13"/>
      <c r="AD13"/>
      <c r="AE13"/>
      <c r="AF13"/>
      <c r="AG13"/>
      <c r="AH13"/>
      <c r="AI13"/>
      <c r="AJ13"/>
      <c r="AK13"/>
      <c r="AL13"/>
    </row>
    <row r="14" spans="1:38" ht="18.75" thickBot="1" x14ac:dyDescent="0.5">
      <c r="A14" s="931"/>
      <c r="B14" s="935" t="s">
        <v>2127</v>
      </c>
      <c r="C14" s="936" t="s">
        <v>534</v>
      </c>
      <c r="D14" s="937">
        <f>ROUNDUP($D$10/20,0)</f>
        <v>5</v>
      </c>
      <c r="E14" s="929" t="s">
        <v>2128</v>
      </c>
      <c r="F14" s="929"/>
      <c r="G14" s="929"/>
      <c r="H14" s="934"/>
      <c r="O14" s="897" t="s">
        <v>2129</v>
      </c>
      <c r="P14" s="889">
        <v>1</v>
      </c>
      <c r="Q14" s="889" t="s">
        <v>2130</v>
      </c>
      <c r="V14"/>
      <c r="W14"/>
      <c r="X14"/>
      <c r="Y14"/>
      <c r="Z14"/>
      <c r="AA14"/>
      <c r="AB14"/>
      <c r="AC14"/>
      <c r="AD14"/>
      <c r="AE14"/>
      <c r="AF14"/>
      <c r="AG14"/>
      <c r="AH14"/>
      <c r="AI14"/>
      <c r="AJ14"/>
      <c r="AK14"/>
      <c r="AL14"/>
    </row>
    <row r="15" spans="1:38" x14ac:dyDescent="0.25">
      <c r="A15" s="931"/>
      <c r="B15" s="938"/>
      <c r="C15" s="938"/>
      <c r="D15" s="938"/>
      <c r="E15" s="938"/>
      <c r="F15" s="938"/>
      <c r="G15" s="938"/>
      <c r="H15" s="934"/>
      <c r="P15" s="889">
        <f>P14*P6</f>
        <v>95</v>
      </c>
      <c r="Q15" s="889" t="s">
        <v>1243</v>
      </c>
      <c r="V15"/>
      <c r="W15"/>
      <c r="X15"/>
      <c r="Y15"/>
      <c r="Z15"/>
      <c r="AA15"/>
      <c r="AB15"/>
      <c r="AC15"/>
      <c r="AD15"/>
      <c r="AE15"/>
      <c r="AF15"/>
      <c r="AG15"/>
      <c r="AH15"/>
      <c r="AI15"/>
      <c r="AJ15"/>
      <c r="AK15"/>
      <c r="AL15"/>
    </row>
    <row r="16" spans="1:38" ht="21.75" x14ac:dyDescent="0.6">
      <c r="A16" s="939" t="s">
        <v>1621</v>
      </c>
      <c r="B16" s="899"/>
      <c r="C16" s="899"/>
      <c r="D16" s="900"/>
      <c r="E16" s="901"/>
      <c r="F16" s="901"/>
      <c r="G16" s="901"/>
      <c r="H16" s="902"/>
      <c r="O16" s="897" t="s">
        <v>2134</v>
      </c>
      <c r="P16" s="889">
        <f>0.6*ROUNDUP(P6/20,)</f>
        <v>3</v>
      </c>
      <c r="Q16" s="889" t="s">
        <v>1243</v>
      </c>
      <c r="V16"/>
      <c r="W16"/>
      <c r="X16"/>
      <c r="Y16"/>
      <c r="Z16"/>
      <c r="AA16"/>
      <c r="AB16"/>
      <c r="AC16"/>
      <c r="AD16"/>
      <c r="AE16"/>
      <c r="AF16"/>
      <c r="AG16"/>
      <c r="AH16"/>
      <c r="AI16"/>
      <c r="AJ16"/>
      <c r="AK16"/>
      <c r="AL16"/>
    </row>
    <row r="17" spans="1:38" ht="22.5" thickBot="1" x14ac:dyDescent="0.65">
      <c r="A17" s="903"/>
      <c r="B17" s="904"/>
      <c r="C17" s="904"/>
      <c r="D17" s="905"/>
      <c r="E17" s="906"/>
      <c r="F17" s="906"/>
      <c r="G17" s="906"/>
      <c r="H17" s="907"/>
      <c r="O17" s="897" t="s">
        <v>2135</v>
      </c>
      <c r="P17" s="889">
        <f>0.8*ROUNDUP(P6/10,)</f>
        <v>8</v>
      </c>
      <c r="Q17" s="889" t="s">
        <v>1243</v>
      </c>
      <c r="V17"/>
      <c r="W17"/>
      <c r="X17"/>
      <c r="Y17"/>
      <c r="Z17"/>
      <c r="AA17"/>
      <c r="AB17"/>
      <c r="AC17"/>
      <c r="AD17"/>
      <c r="AE17"/>
      <c r="AF17"/>
      <c r="AG17"/>
      <c r="AH17"/>
      <c r="AI17"/>
      <c r="AJ17"/>
      <c r="AK17"/>
      <c r="AL17"/>
    </row>
    <row r="18" spans="1:38" ht="15.75" customHeight="1" x14ac:dyDescent="0.6">
      <c r="A18" s="903"/>
      <c r="B18" s="940" t="s">
        <v>60</v>
      </c>
      <c r="C18" s="941" t="s">
        <v>1220</v>
      </c>
      <c r="D18" s="941" t="s">
        <v>62</v>
      </c>
      <c r="E18" s="941" t="s">
        <v>1279</v>
      </c>
      <c r="F18" s="942" t="s">
        <v>2132</v>
      </c>
      <c r="G18" s="943" t="s">
        <v>1622</v>
      </c>
      <c r="H18" s="907"/>
      <c r="I18" s="897"/>
      <c r="J18" s="897"/>
      <c r="K18" s="897"/>
      <c r="L18" s="897"/>
      <c r="M18" s="897"/>
      <c r="N18" s="897"/>
      <c r="O18" s="897"/>
      <c r="P18" s="889"/>
      <c r="Q18" s="889"/>
      <c r="R18" s="897"/>
      <c r="S18" s="897"/>
      <c r="T18" s="897"/>
      <c r="U18" s="897"/>
      <c r="V18"/>
      <c r="W18"/>
      <c r="X18"/>
      <c r="Y18"/>
      <c r="Z18"/>
      <c r="AA18"/>
      <c r="AB18"/>
      <c r="AC18"/>
      <c r="AD18"/>
      <c r="AE18"/>
      <c r="AF18"/>
      <c r="AG18"/>
      <c r="AH18"/>
      <c r="AI18"/>
      <c r="AJ18"/>
      <c r="AK18"/>
      <c r="AL18"/>
    </row>
    <row r="19" spans="1:38" ht="15.75" customHeight="1" x14ac:dyDescent="0.6">
      <c r="A19" s="903"/>
      <c r="B19" s="944" t="s">
        <v>1623</v>
      </c>
      <c r="C19" s="945" t="s">
        <v>1243</v>
      </c>
      <c r="D19" s="946">
        <f>ROUNDUP((D10+D11)*1,2)</f>
        <v>101</v>
      </c>
      <c r="E19" s="69">
        <f>266.76*1.1</f>
        <v>293.43600000000004</v>
      </c>
      <c r="F19" s="69">
        <f t="shared" ref="F19:F24" si="0">E19*D19</f>
        <v>29637.036000000004</v>
      </c>
      <c r="G19" s="947" t="s">
        <v>1624</v>
      </c>
      <c r="H19" s="907"/>
      <c r="I19" s="897"/>
      <c r="J19" s="897"/>
      <c r="K19" s="897"/>
      <c r="L19" s="897"/>
      <c r="M19" s="897"/>
      <c r="N19" s="897"/>
      <c r="O19" s="897"/>
      <c r="P19" s="889"/>
      <c r="Q19" s="889"/>
      <c r="R19" s="897"/>
      <c r="S19" s="897"/>
      <c r="T19" s="897"/>
      <c r="U19" s="897"/>
      <c r="V19"/>
      <c r="W19"/>
      <c r="X19"/>
      <c r="Y19"/>
      <c r="Z19"/>
      <c r="AA19"/>
      <c r="AB19"/>
      <c r="AC19"/>
      <c r="AD19"/>
      <c r="AE19"/>
      <c r="AF19"/>
      <c r="AG19"/>
      <c r="AH19"/>
      <c r="AI19"/>
      <c r="AJ19"/>
      <c r="AK19"/>
      <c r="AL19"/>
    </row>
    <row r="20" spans="1:38" ht="33.75" x14ac:dyDescent="0.6">
      <c r="A20" s="903"/>
      <c r="B20" s="948" t="s">
        <v>1625</v>
      </c>
      <c r="C20" s="949" t="s">
        <v>1243</v>
      </c>
      <c r="D20" s="950">
        <f>ROUNDUP((D10+D11)*1.5,2)</f>
        <v>151.5</v>
      </c>
      <c r="E20" s="70">
        <f>322.87*1.1</f>
        <v>355.15700000000004</v>
      </c>
      <c r="F20" s="70">
        <f t="shared" si="0"/>
        <v>53806.285500000005</v>
      </c>
      <c r="G20" s="951" t="s">
        <v>1626</v>
      </c>
      <c r="H20" s="907"/>
      <c r="I20" s="897"/>
      <c r="J20" s="897"/>
      <c r="K20" s="897"/>
      <c r="L20" s="897"/>
      <c r="M20" s="897"/>
      <c r="N20" s="897"/>
      <c r="O20" s="897"/>
      <c r="P20" s="889"/>
      <c r="Q20" s="889"/>
      <c r="R20" s="897"/>
      <c r="S20" s="897"/>
      <c r="T20" s="897"/>
      <c r="U20" s="897"/>
      <c r="V20"/>
      <c r="W20"/>
      <c r="X20"/>
      <c r="Y20"/>
      <c r="Z20"/>
      <c r="AA20"/>
      <c r="AB20"/>
      <c r="AC20"/>
      <c r="AD20"/>
      <c r="AE20"/>
      <c r="AF20"/>
      <c r="AG20"/>
      <c r="AH20"/>
      <c r="AI20"/>
      <c r="AJ20"/>
      <c r="AK20"/>
      <c r="AL20"/>
    </row>
    <row r="21" spans="1:38" ht="15.75" customHeight="1" x14ac:dyDescent="0.6">
      <c r="A21" s="931"/>
      <c r="B21" s="952" t="s">
        <v>1627</v>
      </c>
      <c r="C21" s="953" t="s">
        <v>1243</v>
      </c>
      <c r="D21" s="950">
        <f>IF(CAPA!C10&lt;20000,100,100+((CAPA!C10-20000)/1000)*5)</f>
        <v>100</v>
      </c>
      <c r="E21" s="71">
        <f>272.88*1.1</f>
        <v>300.16800000000001</v>
      </c>
      <c r="F21" s="71">
        <f t="shared" si="0"/>
        <v>30016.799999999999</v>
      </c>
      <c r="G21" s="954" t="s">
        <v>1628</v>
      </c>
      <c r="H21" s="907"/>
      <c r="I21" s="897"/>
      <c r="J21" s="897"/>
      <c r="K21" s="897"/>
      <c r="L21" s="897"/>
      <c r="M21" s="897"/>
      <c r="N21" s="897"/>
      <c r="O21" s="897"/>
      <c r="P21" s="889"/>
      <c r="Q21" s="889"/>
      <c r="R21" s="897"/>
      <c r="S21" s="897"/>
      <c r="T21" s="897"/>
      <c r="U21" s="897"/>
      <c r="V21"/>
      <c r="W21"/>
      <c r="X21"/>
      <c r="Y21"/>
      <c r="Z21"/>
      <c r="AA21"/>
      <c r="AB21"/>
      <c r="AC21"/>
      <c r="AD21"/>
      <c r="AE21"/>
      <c r="AF21"/>
      <c r="AG21"/>
      <c r="AH21"/>
      <c r="AI21"/>
      <c r="AJ21"/>
      <c r="AK21"/>
      <c r="AL21"/>
    </row>
    <row r="22" spans="1:38" ht="15.75" customHeight="1" x14ac:dyDescent="0.6">
      <c r="A22" s="931"/>
      <c r="B22" s="948" t="s">
        <v>1629</v>
      </c>
      <c r="C22" s="949" t="s">
        <v>1243</v>
      </c>
      <c r="D22" s="955">
        <f>ROUNDUP((D11)*8,2)</f>
        <v>72</v>
      </c>
      <c r="E22" s="70">
        <f>274.01*1.1</f>
        <v>301.411</v>
      </c>
      <c r="F22" s="70">
        <f t="shared" si="0"/>
        <v>21701.592000000001</v>
      </c>
      <c r="G22" s="951" t="s">
        <v>1624</v>
      </c>
      <c r="H22" s="907"/>
      <c r="I22" s="897"/>
      <c r="J22" s="897"/>
      <c r="K22" s="897"/>
      <c r="L22" s="897"/>
      <c r="M22" s="897"/>
      <c r="N22" s="897"/>
      <c r="O22" s="897"/>
      <c r="P22" s="889"/>
      <c r="Q22" s="889"/>
      <c r="R22" s="897"/>
      <c r="S22" s="897"/>
      <c r="T22" s="897"/>
      <c r="U22" s="897"/>
      <c r="V22"/>
      <c r="W22"/>
      <c r="X22"/>
      <c r="Y22"/>
      <c r="Z22"/>
      <c r="AA22"/>
      <c r="AB22"/>
      <c r="AC22"/>
      <c r="AD22"/>
      <c r="AE22"/>
      <c r="AF22"/>
      <c r="AG22"/>
      <c r="AH22"/>
      <c r="AI22"/>
      <c r="AJ22"/>
      <c r="AK22"/>
      <c r="AL22"/>
    </row>
    <row r="23" spans="1:38" ht="15.75" customHeight="1" x14ac:dyDescent="0.6">
      <c r="A23" s="931"/>
      <c r="B23" s="956" t="s">
        <v>1630</v>
      </c>
      <c r="C23" s="957" t="s">
        <v>1243</v>
      </c>
      <c r="D23" s="958">
        <v>5</v>
      </c>
      <c r="E23" s="72">
        <f>115.48*1.1</f>
        <v>127.02800000000002</v>
      </c>
      <c r="F23" s="72">
        <f t="shared" si="0"/>
        <v>635.1400000000001</v>
      </c>
      <c r="G23" s="959" t="s">
        <v>1631</v>
      </c>
      <c r="H23" s="907"/>
      <c r="I23" s="897"/>
      <c r="J23" s="897"/>
      <c r="K23" s="897"/>
      <c r="L23" s="897"/>
      <c r="M23" s="897"/>
      <c r="N23" s="897"/>
      <c r="O23" s="897"/>
      <c r="P23" s="889"/>
      <c r="Q23" s="889"/>
      <c r="R23" s="897"/>
      <c r="S23" s="897"/>
      <c r="T23" s="897"/>
      <c r="U23" s="897"/>
      <c r="V23"/>
      <c r="W23"/>
      <c r="X23"/>
      <c r="Y23"/>
      <c r="Z23"/>
      <c r="AA23"/>
      <c r="AB23"/>
      <c r="AC23"/>
      <c r="AD23"/>
      <c r="AE23"/>
      <c r="AF23"/>
      <c r="AG23"/>
      <c r="AH23"/>
      <c r="AI23"/>
      <c r="AJ23"/>
      <c r="AK23"/>
      <c r="AL23"/>
    </row>
    <row r="24" spans="1:38" ht="15.75" customHeight="1" thickBot="1" x14ac:dyDescent="0.65">
      <c r="A24" s="931"/>
      <c r="B24" s="960" t="s">
        <v>1632</v>
      </c>
      <c r="C24" s="961" t="s">
        <v>1243</v>
      </c>
      <c r="D24" s="955">
        <v>2</v>
      </c>
      <c r="E24" s="70">
        <f>E22+(200*10)/12+1200</f>
        <v>1668.0776666666666</v>
      </c>
      <c r="F24" s="70">
        <f t="shared" si="0"/>
        <v>3336.1553333333331</v>
      </c>
      <c r="G24" s="962" t="s">
        <v>1633</v>
      </c>
      <c r="H24" s="907"/>
      <c r="I24" s="897"/>
      <c r="J24" s="897"/>
      <c r="K24" s="897"/>
      <c r="L24" s="897"/>
      <c r="M24" s="897"/>
      <c r="N24" s="897"/>
      <c r="O24" s="897"/>
      <c r="P24" s="889"/>
      <c r="Q24" s="889"/>
      <c r="R24" s="897"/>
      <c r="S24" s="897"/>
      <c r="T24" s="897"/>
      <c r="U24" s="897"/>
      <c r="V24"/>
      <c r="W24"/>
      <c r="X24"/>
      <c r="Y24"/>
      <c r="Z24"/>
      <c r="AA24"/>
      <c r="AB24"/>
      <c r="AC24"/>
      <c r="AD24"/>
      <c r="AE24"/>
      <c r="AF24"/>
      <c r="AG24"/>
      <c r="AH24"/>
      <c r="AI24"/>
      <c r="AJ24"/>
      <c r="AK24"/>
      <c r="AL24"/>
    </row>
    <row r="25" spans="1:38" ht="15.75" customHeight="1" thickBot="1" x14ac:dyDescent="0.65">
      <c r="A25" s="963"/>
      <c r="B25" s="1965" t="s">
        <v>56</v>
      </c>
      <c r="C25" s="1966"/>
      <c r="D25" s="1966"/>
      <c r="E25" s="1966"/>
      <c r="F25" s="964">
        <f>SUM(F19:F24)</f>
        <v>139133.00883333336</v>
      </c>
      <c r="G25" s="965"/>
      <c r="H25" s="907"/>
      <c r="I25" s="897"/>
      <c r="J25" s="897"/>
      <c r="K25" s="897"/>
      <c r="L25" s="897"/>
      <c r="M25" s="897"/>
      <c r="N25" s="897"/>
      <c r="O25" s="897"/>
      <c r="P25" s="889"/>
      <c r="Q25" s="889"/>
      <c r="R25" s="889"/>
      <c r="S25" s="897"/>
      <c r="T25" s="897"/>
      <c r="U25" s="897"/>
      <c r="V25"/>
      <c r="W25"/>
      <c r="X25"/>
      <c r="Y25"/>
      <c r="Z25"/>
      <c r="AA25"/>
      <c r="AB25"/>
      <c r="AC25"/>
      <c r="AD25"/>
      <c r="AE25"/>
      <c r="AF25"/>
      <c r="AG25"/>
      <c r="AH25"/>
      <c r="AI25"/>
      <c r="AJ25"/>
      <c r="AK25"/>
      <c r="AL25"/>
    </row>
    <row r="26" spans="1:38" ht="15.75" customHeight="1" x14ac:dyDescent="0.6">
      <c r="A26" s="897"/>
      <c r="B26" s="966"/>
      <c r="C26" s="966"/>
      <c r="D26" s="966"/>
      <c r="E26" s="967"/>
      <c r="F26" s="966"/>
      <c r="G26" s="968"/>
      <c r="H26" s="907"/>
      <c r="I26" s="897"/>
      <c r="J26" s="897"/>
      <c r="K26" s="897"/>
      <c r="L26" s="897"/>
      <c r="M26" s="897"/>
      <c r="N26" s="897"/>
      <c r="O26" s="897" t="s">
        <v>2134</v>
      </c>
      <c r="P26" s="889">
        <f>0.6*ROUNDUP(P31/20,)</f>
        <v>0</v>
      </c>
      <c r="Q26" s="889" t="s">
        <v>1243</v>
      </c>
      <c r="R26" s="897"/>
      <c r="S26" s="897"/>
      <c r="T26" s="897"/>
      <c r="U26" s="897"/>
      <c r="V26"/>
      <c r="W26"/>
      <c r="X26"/>
      <c r="Y26"/>
      <c r="Z26"/>
      <c r="AA26"/>
      <c r="AB26"/>
      <c r="AC26"/>
      <c r="AD26"/>
      <c r="AE26"/>
      <c r="AF26"/>
      <c r="AG26"/>
      <c r="AH26"/>
      <c r="AI26"/>
      <c r="AJ26"/>
      <c r="AK26"/>
      <c r="AL26"/>
    </row>
    <row r="27" spans="1:38" ht="15.75" customHeight="1" x14ac:dyDescent="0.6">
      <c r="A27" s="897"/>
      <c r="B27" s="969" t="s">
        <v>2136</v>
      </c>
      <c r="C27" s="966"/>
      <c r="D27" s="966"/>
      <c r="E27" s="967"/>
      <c r="F27" s="966"/>
      <c r="G27" s="968"/>
      <c r="H27" s="907"/>
      <c r="I27" s="897"/>
      <c r="J27" s="897"/>
      <c r="K27" s="897"/>
      <c r="L27" s="897"/>
      <c r="M27" s="897"/>
      <c r="N27" s="897"/>
      <c r="O27" s="897"/>
      <c r="P27" s="889"/>
      <c r="Q27" s="889"/>
      <c r="R27" s="897"/>
      <c r="S27" s="897"/>
      <c r="T27" s="897"/>
      <c r="U27" s="897"/>
      <c r="V27"/>
      <c r="W27"/>
      <c r="X27"/>
      <c r="Y27"/>
      <c r="Z27"/>
      <c r="AA27"/>
      <c r="AB27"/>
      <c r="AC27"/>
      <c r="AD27"/>
      <c r="AE27"/>
      <c r="AF27"/>
      <c r="AG27"/>
      <c r="AH27"/>
      <c r="AI27"/>
      <c r="AJ27"/>
      <c r="AK27"/>
      <c r="AL27"/>
    </row>
    <row r="28" spans="1:38" ht="21.75" x14ac:dyDescent="0.6">
      <c r="A28" s="898" t="s">
        <v>1634</v>
      </c>
      <c r="B28" s="899"/>
      <c r="C28" s="899"/>
      <c r="D28" s="900"/>
      <c r="E28" s="901"/>
      <c r="F28" s="901"/>
      <c r="G28" s="901"/>
      <c r="H28" s="902"/>
      <c r="P28" s="889"/>
      <c r="Q28" s="889"/>
      <c r="V28"/>
      <c r="W28"/>
      <c r="X28"/>
      <c r="Y28"/>
      <c r="Z28"/>
      <c r="AA28"/>
      <c r="AB28"/>
      <c r="AC28"/>
      <c r="AD28"/>
      <c r="AE28"/>
      <c r="AF28"/>
      <c r="AG28"/>
      <c r="AH28"/>
      <c r="AI28"/>
      <c r="AJ28"/>
      <c r="AK28"/>
      <c r="AL28"/>
    </row>
    <row r="29" spans="1:38" ht="22.5" thickBot="1" x14ac:dyDescent="0.65">
      <c r="A29" s="903"/>
      <c r="B29" s="904"/>
      <c r="C29" s="904"/>
      <c r="D29" s="905"/>
      <c r="E29" s="906"/>
      <c r="F29" s="906"/>
      <c r="G29" s="906"/>
      <c r="H29" s="907"/>
      <c r="O29" s="897" t="s">
        <v>2131</v>
      </c>
      <c r="P29" s="889">
        <v>1.5</v>
      </c>
      <c r="Q29" s="889" t="s">
        <v>2130</v>
      </c>
      <c r="V29"/>
      <c r="W29"/>
      <c r="X29"/>
      <c r="Y29"/>
      <c r="Z29"/>
      <c r="AA29"/>
      <c r="AB29"/>
      <c r="AC29"/>
      <c r="AD29"/>
      <c r="AE29"/>
      <c r="AF29"/>
      <c r="AG29"/>
      <c r="AH29"/>
      <c r="AI29"/>
      <c r="AJ29"/>
      <c r="AK29"/>
      <c r="AL29"/>
    </row>
    <row r="30" spans="1:38" ht="21.75" x14ac:dyDescent="0.6">
      <c r="A30" s="903"/>
      <c r="B30" s="908" t="s">
        <v>60</v>
      </c>
      <c r="C30" s="909" t="s">
        <v>1220</v>
      </c>
      <c r="D30" s="909" t="s">
        <v>62</v>
      </c>
      <c r="E30" s="909" t="s">
        <v>1279</v>
      </c>
      <c r="F30" s="970" t="s">
        <v>2132</v>
      </c>
      <c r="G30" s="906"/>
      <c r="H30" s="907"/>
      <c r="P30" s="889">
        <f>P29*P6</f>
        <v>142.5</v>
      </c>
      <c r="Q30" s="889" t="s">
        <v>1243</v>
      </c>
      <c r="V30"/>
      <c r="W30"/>
      <c r="X30"/>
      <c r="Y30"/>
      <c r="Z30"/>
      <c r="AA30"/>
      <c r="AB30"/>
      <c r="AC30"/>
      <c r="AD30"/>
      <c r="AE30"/>
      <c r="AF30"/>
      <c r="AG30"/>
      <c r="AH30"/>
      <c r="AI30"/>
      <c r="AJ30"/>
      <c r="AK30"/>
      <c r="AL30"/>
    </row>
    <row r="31" spans="1:38" ht="15.75" customHeight="1" x14ac:dyDescent="0.6">
      <c r="A31" s="903"/>
      <c r="B31" s="911" t="s">
        <v>1635</v>
      </c>
      <c r="C31" s="912" t="s">
        <v>534</v>
      </c>
      <c r="D31" s="927">
        <f>ROUNDUP(D11*1.5,)</f>
        <v>14</v>
      </c>
      <c r="E31" s="927">
        <v>200</v>
      </c>
      <c r="F31" s="971">
        <f>D31*E31</f>
        <v>2800</v>
      </c>
      <c r="G31" s="906"/>
      <c r="H31" s="907"/>
      <c r="P31" s="889"/>
      <c r="Q31" s="889"/>
      <c r="V31"/>
      <c r="W31"/>
      <c r="X31"/>
      <c r="Y31"/>
      <c r="Z31"/>
      <c r="AA31"/>
      <c r="AB31"/>
      <c r="AC31"/>
      <c r="AD31"/>
      <c r="AE31"/>
      <c r="AF31"/>
      <c r="AG31"/>
      <c r="AH31"/>
      <c r="AI31"/>
      <c r="AJ31"/>
      <c r="AK31"/>
      <c r="AL31"/>
    </row>
    <row r="32" spans="1:38" ht="15.75" customHeight="1" x14ac:dyDescent="0.6">
      <c r="A32" s="903"/>
      <c r="B32" s="972" t="s">
        <v>1636</v>
      </c>
      <c r="C32" s="927" t="s">
        <v>534</v>
      </c>
      <c r="D32" s="927">
        <v>1</v>
      </c>
      <c r="E32" s="927">
        <v>850</v>
      </c>
      <c r="F32" s="971">
        <f>E32*D32</f>
        <v>850</v>
      </c>
      <c r="G32" s="906"/>
      <c r="H32" s="907"/>
      <c r="P32" s="889"/>
      <c r="Q32" s="889"/>
      <c r="V32"/>
      <c r="W32"/>
      <c r="X32"/>
      <c r="Y32"/>
      <c r="Z32"/>
      <c r="AA32"/>
      <c r="AB32"/>
      <c r="AC32"/>
      <c r="AD32"/>
      <c r="AE32"/>
      <c r="AF32"/>
      <c r="AG32"/>
      <c r="AH32"/>
      <c r="AI32"/>
      <c r="AJ32"/>
      <c r="AK32"/>
      <c r="AL32"/>
    </row>
    <row r="33" spans="1:38" ht="15.75" customHeight="1" x14ac:dyDescent="0.45">
      <c r="A33" s="931"/>
      <c r="B33" s="972" t="s">
        <v>1637</v>
      </c>
      <c r="C33" s="927" t="s">
        <v>534</v>
      </c>
      <c r="D33" s="927">
        <v>1</v>
      </c>
      <c r="E33" s="927">
        <v>3000</v>
      </c>
      <c r="F33" s="971">
        <f>E33*D33</f>
        <v>3000</v>
      </c>
      <c r="G33" s="906"/>
      <c r="H33" s="934"/>
      <c r="P33" s="889"/>
      <c r="Q33" s="889"/>
      <c r="V33"/>
      <c r="W33"/>
      <c r="X33"/>
      <c r="Y33"/>
      <c r="Z33"/>
      <c r="AA33"/>
      <c r="AB33"/>
      <c r="AC33"/>
      <c r="AD33"/>
      <c r="AE33"/>
      <c r="AF33"/>
      <c r="AG33"/>
      <c r="AH33"/>
      <c r="AI33"/>
      <c r="AJ33"/>
      <c r="AK33"/>
      <c r="AL33"/>
    </row>
    <row r="34" spans="1:38" ht="15.75" customHeight="1" x14ac:dyDescent="0.45">
      <c r="A34" s="931"/>
      <c r="B34" s="972" t="s">
        <v>1638</v>
      </c>
      <c r="C34" s="927" t="s">
        <v>788</v>
      </c>
      <c r="D34" s="927">
        <v>4</v>
      </c>
      <c r="E34" s="927">
        <v>900</v>
      </c>
      <c r="F34" s="971">
        <f>E34*D34</f>
        <v>3600</v>
      </c>
      <c r="G34" s="906"/>
      <c r="H34" s="934"/>
      <c r="P34" s="889"/>
      <c r="Q34" s="889"/>
      <c r="V34"/>
      <c r="W34"/>
      <c r="X34"/>
      <c r="Y34"/>
      <c r="Z34"/>
      <c r="AA34"/>
      <c r="AB34"/>
      <c r="AC34"/>
      <c r="AD34"/>
      <c r="AE34"/>
      <c r="AF34"/>
      <c r="AG34"/>
      <c r="AH34"/>
      <c r="AI34"/>
      <c r="AJ34"/>
      <c r="AK34"/>
      <c r="AL34"/>
    </row>
    <row r="35" spans="1:38" ht="15.75" customHeight="1" thickBot="1" x14ac:dyDescent="0.5">
      <c r="A35" s="931"/>
      <c r="B35" s="973" t="s">
        <v>1639</v>
      </c>
      <c r="C35" s="936" t="s">
        <v>534</v>
      </c>
      <c r="D35" s="936">
        <f>D11</f>
        <v>9</v>
      </c>
      <c r="E35" s="936">
        <v>800</v>
      </c>
      <c r="F35" s="937">
        <f>E35*D35</f>
        <v>7200</v>
      </c>
      <c r="G35" s="906"/>
      <c r="H35" s="934"/>
      <c r="P35" s="889"/>
      <c r="Q35" s="889"/>
      <c r="V35"/>
      <c r="W35"/>
      <c r="X35"/>
      <c r="Y35"/>
      <c r="Z35"/>
      <c r="AA35"/>
      <c r="AB35"/>
      <c r="AC35"/>
      <c r="AD35"/>
      <c r="AE35"/>
      <c r="AF35"/>
      <c r="AG35"/>
      <c r="AH35"/>
      <c r="AI35"/>
      <c r="AJ35"/>
      <c r="AK35"/>
      <c r="AL35"/>
    </row>
    <row r="36" spans="1:38" ht="15.75" customHeight="1" thickBot="1" x14ac:dyDescent="0.5">
      <c r="A36" s="931"/>
      <c r="B36" s="1957" t="s">
        <v>56</v>
      </c>
      <c r="C36" s="1958"/>
      <c r="D36" s="1958"/>
      <c r="E36" s="1959"/>
      <c r="F36" s="974">
        <f>F33+F34+F35+F32+F31</f>
        <v>17450</v>
      </c>
      <c r="G36" s="906"/>
      <c r="H36" s="934"/>
      <c r="P36" s="889"/>
      <c r="Q36" s="889"/>
      <c r="V36"/>
      <c r="W36"/>
      <c r="X36"/>
      <c r="Y36"/>
      <c r="Z36"/>
      <c r="AA36"/>
      <c r="AB36"/>
      <c r="AC36"/>
      <c r="AD36"/>
      <c r="AE36"/>
      <c r="AF36"/>
      <c r="AG36"/>
      <c r="AH36"/>
      <c r="AI36"/>
      <c r="AJ36"/>
      <c r="AK36"/>
      <c r="AL36"/>
    </row>
    <row r="37" spans="1:38" ht="15.75" customHeight="1" x14ac:dyDescent="0.45">
      <c r="A37" s="931"/>
      <c r="B37" s="908" t="s">
        <v>60</v>
      </c>
      <c r="C37" s="909" t="s">
        <v>1220</v>
      </c>
      <c r="D37" s="909" t="s">
        <v>62</v>
      </c>
      <c r="E37" s="909" t="s">
        <v>1279</v>
      </c>
      <c r="F37" s="970" t="s">
        <v>2132</v>
      </c>
      <c r="G37" s="906"/>
      <c r="H37" s="934"/>
      <c r="P37" s="889"/>
      <c r="Q37" s="889"/>
      <c r="V37"/>
      <c r="W37"/>
      <c r="X37"/>
      <c r="Y37"/>
      <c r="Z37"/>
      <c r="AA37"/>
      <c r="AB37"/>
      <c r="AC37"/>
      <c r="AD37"/>
      <c r="AE37"/>
      <c r="AF37"/>
      <c r="AG37"/>
      <c r="AH37"/>
      <c r="AI37"/>
      <c r="AJ37"/>
      <c r="AK37"/>
      <c r="AL37"/>
    </row>
    <row r="38" spans="1:38" ht="15.75" customHeight="1" x14ac:dyDescent="0.45">
      <c r="A38" s="931"/>
      <c r="B38" s="911" t="s">
        <v>1640</v>
      </c>
      <c r="C38" s="912" t="s">
        <v>534</v>
      </c>
      <c r="D38" s="927">
        <f>D11</f>
        <v>9</v>
      </c>
      <c r="E38" s="927">
        <v>3500</v>
      </c>
      <c r="F38" s="971">
        <f>D38*E38</f>
        <v>31500</v>
      </c>
      <c r="G38" s="906"/>
      <c r="H38" s="934"/>
      <c r="P38" s="889"/>
      <c r="Q38" s="889"/>
      <c r="V38"/>
      <c r="W38"/>
      <c r="X38"/>
      <c r="Y38"/>
      <c r="Z38"/>
      <c r="AA38"/>
      <c r="AB38"/>
      <c r="AC38"/>
      <c r="AD38"/>
      <c r="AE38"/>
      <c r="AF38"/>
      <c r="AG38"/>
      <c r="AH38"/>
      <c r="AI38"/>
      <c r="AJ38"/>
      <c r="AK38"/>
      <c r="AL38"/>
    </row>
    <row r="39" spans="1:38" ht="15.75" customHeight="1" x14ac:dyDescent="0.45">
      <c r="A39" s="931"/>
      <c r="B39" s="972" t="s">
        <v>1641</v>
      </c>
      <c r="C39" s="927" t="s">
        <v>534</v>
      </c>
      <c r="D39" s="927">
        <v>1</v>
      </c>
      <c r="E39" s="927">
        <v>900</v>
      </c>
      <c r="F39" s="971">
        <f>E39*D39</f>
        <v>900</v>
      </c>
      <c r="G39" s="906"/>
      <c r="H39" s="934"/>
      <c r="P39" s="889"/>
      <c r="Q39" s="889"/>
      <c r="V39"/>
      <c r="W39"/>
      <c r="X39"/>
      <c r="Y39"/>
      <c r="Z39"/>
      <c r="AA39"/>
      <c r="AB39"/>
      <c r="AC39"/>
      <c r="AD39"/>
      <c r="AE39"/>
      <c r="AF39"/>
      <c r="AG39"/>
      <c r="AH39"/>
      <c r="AI39"/>
      <c r="AJ39"/>
      <c r="AK39"/>
      <c r="AL39"/>
    </row>
    <row r="40" spans="1:38" ht="15.75" customHeight="1" thickBot="1" x14ac:dyDescent="0.5">
      <c r="A40" s="931"/>
      <c r="B40" s="975" t="s">
        <v>1642</v>
      </c>
      <c r="C40" s="976" t="s">
        <v>534</v>
      </c>
      <c r="D40" s="976">
        <v>2</v>
      </c>
      <c r="E40" s="976">
        <v>500</v>
      </c>
      <c r="F40" s="977">
        <f>E40*D40</f>
        <v>1000</v>
      </c>
      <c r="G40" s="906"/>
      <c r="H40" s="934"/>
      <c r="P40" s="889"/>
      <c r="Q40" s="889"/>
      <c r="V40"/>
      <c r="W40"/>
      <c r="X40"/>
      <c r="Y40"/>
      <c r="Z40"/>
      <c r="AA40"/>
      <c r="AB40"/>
      <c r="AC40"/>
      <c r="AD40"/>
      <c r="AE40"/>
      <c r="AF40"/>
      <c r="AG40"/>
      <c r="AH40"/>
      <c r="AI40"/>
      <c r="AJ40"/>
      <c r="AK40"/>
      <c r="AL40"/>
    </row>
    <row r="41" spans="1:38" ht="15.75" customHeight="1" thickBot="1" x14ac:dyDescent="0.5">
      <c r="A41" s="963"/>
      <c r="B41" s="1957" t="s">
        <v>56</v>
      </c>
      <c r="C41" s="1958"/>
      <c r="D41" s="1958"/>
      <c r="E41" s="1959"/>
      <c r="F41" s="974">
        <f>+F38+F39+F40</f>
        <v>33400</v>
      </c>
      <c r="G41" s="906"/>
      <c r="H41" s="978"/>
      <c r="O41" s="897" t="s">
        <v>2133</v>
      </c>
      <c r="P41" s="889">
        <f>1*ROUNDUP(P6/20,)</f>
        <v>5</v>
      </c>
      <c r="Q41" s="889" t="s">
        <v>1243</v>
      </c>
      <c r="V41"/>
      <c r="W41"/>
      <c r="X41"/>
      <c r="Y41"/>
      <c r="Z41"/>
      <c r="AA41"/>
      <c r="AB41"/>
      <c r="AC41"/>
      <c r="AD41"/>
      <c r="AE41"/>
      <c r="AF41"/>
      <c r="AG41"/>
      <c r="AH41"/>
      <c r="AI41"/>
      <c r="AJ41"/>
      <c r="AK41"/>
      <c r="AL41"/>
    </row>
    <row r="42" spans="1:38" ht="15.75" customHeight="1" x14ac:dyDescent="0.45">
      <c r="A42" s="931"/>
      <c r="B42" s="938"/>
      <c r="C42" s="938"/>
      <c r="D42" s="938"/>
      <c r="E42" s="938"/>
      <c r="F42" s="938"/>
      <c r="G42" s="906"/>
      <c r="H42" s="934"/>
      <c r="P42" s="889"/>
      <c r="Q42" s="889"/>
      <c r="R42" s="889"/>
      <c r="V42"/>
      <c r="W42"/>
      <c r="X42"/>
      <c r="Y42"/>
      <c r="Z42"/>
      <c r="AA42"/>
      <c r="AB42"/>
      <c r="AC42"/>
      <c r="AD42"/>
      <c r="AE42"/>
      <c r="AF42"/>
      <c r="AG42"/>
      <c r="AH42"/>
      <c r="AI42"/>
      <c r="AJ42"/>
      <c r="AK42"/>
      <c r="AL42"/>
    </row>
    <row r="43" spans="1:38" ht="15.75" customHeight="1" thickBot="1" x14ac:dyDescent="0.3">
      <c r="A43" s="979"/>
      <c r="B43" s="980"/>
      <c r="C43" s="980"/>
      <c r="D43" s="980"/>
      <c r="E43" s="980"/>
      <c r="F43" s="980"/>
      <c r="G43" s="980"/>
      <c r="H43" s="981"/>
      <c r="P43" s="889"/>
      <c r="Q43" s="889"/>
      <c r="V43"/>
      <c r="W43"/>
      <c r="X43"/>
      <c r="Y43"/>
      <c r="Z43"/>
      <c r="AA43"/>
      <c r="AB43"/>
      <c r="AC43"/>
      <c r="AD43"/>
      <c r="AE43"/>
      <c r="AF43"/>
      <c r="AG43"/>
      <c r="AH43"/>
      <c r="AI43"/>
      <c r="AJ43"/>
      <c r="AK43"/>
      <c r="AL43"/>
    </row>
    <row r="44" spans="1:38" ht="15.75" customHeight="1" x14ac:dyDescent="0.25">
      <c r="G44" s="897"/>
      <c r="P44" s="889"/>
      <c r="Q44" s="889"/>
      <c r="V44"/>
      <c r="W44"/>
      <c r="X44"/>
      <c r="Y44"/>
      <c r="Z44"/>
      <c r="AA44"/>
      <c r="AB44"/>
      <c r="AC44"/>
      <c r="AD44"/>
      <c r="AE44"/>
      <c r="AF44"/>
      <c r="AG44"/>
      <c r="AH44"/>
      <c r="AI44"/>
      <c r="AJ44"/>
      <c r="AK44"/>
      <c r="AL44"/>
    </row>
    <row r="45" spans="1:38" ht="15.75" customHeight="1" x14ac:dyDescent="0.25">
      <c r="G45" s="897"/>
      <c r="O45" s="897" t="s">
        <v>2127</v>
      </c>
      <c r="P45" s="889">
        <v>1</v>
      </c>
      <c r="Q45" s="889" t="s">
        <v>2137</v>
      </c>
      <c r="R45" s="897">
        <v>20</v>
      </c>
      <c r="S45" s="897" t="s">
        <v>2138</v>
      </c>
      <c r="V45"/>
      <c r="W45"/>
      <c r="X45"/>
      <c r="Y45"/>
      <c r="Z45"/>
      <c r="AA45"/>
      <c r="AB45"/>
      <c r="AC45"/>
      <c r="AD45"/>
      <c r="AE45"/>
      <c r="AF45"/>
      <c r="AG45"/>
      <c r="AH45"/>
      <c r="AI45"/>
      <c r="AJ45"/>
      <c r="AK45"/>
      <c r="AL45"/>
    </row>
    <row r="46" spans="1:38" ht="15.75" customHeight="1" x14ac:dyDescent="0.25">
      <c r="G46" s="897"/>
      <c r="P46" s="889">
        <f>ROUNDUP(P6/R45,)</f>
        <v>5</v>
      </c>
      <c r="Q46" s="889"/>
      <c r="V46"/>
      <c r="W46"/>
      <c r="X46"/>
      <c r="Y46"/>
      <c r="Z46"/>
      <c r="AA46"/>
      <c r="AB46"/>
      <c r="AC46"/>
      <c r="AD46"/>
      <c r="AE46"/>
      <c r="AF46"/>
      <c r="AG46"/>
      <c r="AH46"/>
      <c r="AI46"/>
      <c r="AJ46"/>
      <c r="AK46"/>
      <c r="AL46"/>
    </row>
    <row r="47" spans="1:38" ht="15.75" customHeight="1" x14ac:dyDescent="0.2">
      <c r="A47"/>
      <c r="B47"/>
      <c r="C47"/>
      <c r="D47"/>
      <c r="E47"/>
      <c r="F47"/>
      <c r="G47"/>
      <c r="H47"/>
      <c r="I47"/>
      <c r="J47"/>
      <c r="K47"/>
      <c r="L47"/>
      <c r="M47"/>
      <c r="N47"/>
      <c r="O47"/>
      <c r="P47"/>
      <c r="Q47"/>
      <c r="R47"/>
      <c r="S47"/>
      <c r="T47"/>
      <c r="U47"/>
      <c r="V47"/>
      <c r="W47"/>
      <c r="X47"/>
      <c r="Y47"/>
      <c r="Z47"/>
      <c r="AA47"/>
      <c r="AB47"/>
      <c r="AC47"/>
      <c r="AD47"/>
      <c r="AE47"/>
      <c r="AF47"/>
      <c r="AG47"/>
      <c r="AH47"/>
      <c r="AI47"/>
      <c r="AJ47"/>
      <c r="AK47"/>
      <c r="AL47"/>
    </row>
    <row r="48" spans="1:38" ht="15.75" customHeight="1" x14ac:dyDescent="0.2">
      <c r="A48"/>
      <c r="B48"/>
      <c r="C48"/>
      <c r="D48"/>
      <c r="E48"/>
      <c r="F48"/>
      <c r="G48"/>
      <c r="H48"/>
      <c r="I48"/>
      <c r="J48"/>
      <c r="K48"/>
      <c r="L48"/>
      <c r="M48"/>
      <c r="N48"/>
      <c r="O48"/>
      <c r="P48"/>
      <c r="Q48"/>
      <c r="R48"/>
      <c r="S48"/>
      <c r="T48"/>
      <c r="U48"/>
      <c r="V48"/>
      <c r="W48"/>
      <c r="X48"/>
      <c r="Y48"/>
      <c r="Z48"/>
      <c r="AA48"/>
      <c r="AB48"/>
      <c r="AC48"/>
      <c r="AD48"/>
      <c r="AE48"/>
      <c r="AF48"/>
      <c r="AG48"/>
      <c r="AH48"/>
      <c r="AI48"/>
      <c r="AJ48"/>
      <c r="AK48"/>
      <c r="AL48"/>
    </row>
  </sheetData>
  <mergeCells count="6">
    <mergeCell ref="B41:E41"/>
    <mergeCell ref="O3:Q3"/>
    <mergeCell ref="S3:U3"/>
    <mergeCell ref="A4:H4"/>
    <mergeCell ref="B25:E25"/>
    <mergeCell ref="B36:E36"/>
  </mergeCells>
  <dataValidations count="1">
    <dataValidation type="list" allowBlank="1" showErrorMessage="1" sqref="G19:G24" xr:uid="{31FB4BAD-D12D-4D67-B5D2-060AF0A429FC}">
      <formula1>"Sim,Não"</formula1>
    </dataValidation>
  </dataValidations>
  <pageMargins left="0.511811024" right="0.511811024" top="0.78740157499999996" bottom="0.78740157499999996" header="0" footer="0"/>
  <pageSetup paperSize="9" scale="61" orientation="portrait"/>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